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lysondickey/Model HOA Dropbox/Allyson Dickey/Board Folders/Red Hawk Ranch - Board Materials/Red Hawk Ranch Water Company/Financial/Budgets/"/>
    </mc:Choice>
  </mc:AlternateContent>
  <xr:revisionPtr revIDLastSave="0" documentId="13_ncr:1_{62640047-0563-DC4C-9111-63E29C670921}" xr6:coauthVersionLast="47" xr6:coauthVersionMax="47" xr10:uidLastSave="{00000000-0000-0000-0000-000000000000}"/>
  <bookViews>
    <workbookView xWindow="0" yWindow="500" windowWidth="28800" windowHeight="17500" xr2:uid="{93BFEBA9-1F58-DA49-9815-90152AE2B167}"/>
  </bookViews>
  <sheets>
    <sheet name="Budget" sheetId="1" r:id="rId1"/>
    <sheet name="QBO View" sheetId="2" state="hidden" r:id="rId2"/>
  </sheets>
  <definedNames>
    <definedName name="_xlnm.Print_Area" localSheetId="0">Budget!$A$1:$L$68</definedName>
    <definedName name="_xlnm.Print_Area" localSheetId="1">'QBO View'!$A$1:$H$53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8" i="1" l="1"/>
  <c r="K58" i="1"/>
  <c r="L37" i="1"/>
  <c r="J36" i="1"/>
  <c r="J37" i="1"/>
  <c r="K43" i="1"/>
  <c r="I44" i="1"/>
  <c r="C15" i="1" l="1"/>
  <c r="L23" i="1" l="1"/>
  <c r="D15" i="1" l="1"/>
  <c r="K24" i="1"/>
  <c r="J63" i="1"/>
  <c r="K63" i="1" s="1"/>
  <c r="K59" i="1"/>
  <c r="J42" i="1"/>
  <c r="K42" i="1" s="1"/>
  <c r="J40" i="1"/>
  <c r="K40" i="1" s="1"/>
  <c r="J38" i="1"/>
  <c r="K38" i="1" s="1"/>
  <c r="K37" i="1"/>
  <c r="K36" i="1"/>
  <c r="K27" i="1"/>
  <c r="J28" i="1"/>
  <c r="K28" i="1" s="1"/>
  <c r="J23" i="1"/>
  <c r="K23" i="1" s="1"/>
  <c r="J22" i="1"/>
  <c r="K22" i="1" s="1"/>
  <c r="J21" i="1"/>
  <c r="K21" i="1" s="1"/>
  <c r="J20" i="1"/>
  <c r="K20" i="1" s="1"/>
  <c r="I57" i="1"/>
  <c r="J44" i="1"/>
  <c r="K44" i="1" s="1"/>
  <c r="K47" i="1"/>
  <c r="K48" i="1"/>
  <c r="K49" i="1"/>
  <c r="K46" i="1"/>
  <c r="K39" i="1"/>
  <c r="K29" i="1"/>
  <c r="K30" i="1"/>
  <c r="K26" i="1"/>
  <c r="H64" i="1"/>
  <c r="H54" i="1"/>
  <c r="H57" i="1" s="1"/>
  <c r="H60" i="1" s="1"/>
  <c r="H50" i="1"/>
  <c r="H32" i="1"/>
  <c r="G48" i="2"/>
  <c r="F51" i="2"/>
  <c r="F53" i="2" s="1"/>
  <c r="E51" i="2"/>
  <c r="E53" i="2" s="1"/>
  <c r="D51" i="2"/>
  <c r="D53" i="2" s="1"/>
  <c r="C53" i="2"/>
  <c r="C51" i="2"/>
  <c r="G49" i="2"/>
  <c r="G51" i="2" s="1"/>
  <c r="G53" i="2" s="1"/>
  <c r="F49" i="2"/>
  <c r="E49" i="2"/>
  <c r="D49" i="2"/>
  <c r="C49" i="2"/>
  <c r="G45" i="2"/>
  <c r="F45" i="2"/>
  <c r="E45" i="2"/>
  <c r="D45" i="2"/>
  <c r="C45" i="2"/>
  <c r="G43" i="2"/>
  <c r="G40" i="2"/>
  <c r="G38" i="2"/>
  <c r="F38" i="2"/>
  <c r="E38" i="2"/>
  <c r="D38" i="2"/>
  <c r="C38" i="2"/>
  <c r="G36" i="2"/>
  <c r="F36" i="2"/>
  <c r="E36" i="2"/>
  <c r="D36" i="2"/>
  <c r="C36" i="2"/>
  <c r="G33" i="2"/>
  <c r="G34" i="2"/>
  <c r="G35" i="2"/>
  <c r="G32" i="2"/>
  <c r="D32" i="2"/>
  <c r="E32" i="2"/>
  <c r="F32" i="2"/>
  <c r="D33" i="2"/>
  <c r="E33" i="2"/>
  <c r="F33" i="2"/>
  <c r="D34" i="2"/>
  <c r="E34" i="2"/>
  <c r="F34" i="2"/>
  <c r="D35" i="2"/>
  <c r="E35" i="2"/>
  <c r="F35" i="2"/>
  <c r="C35" i="2"/>
  <c r="C34" i="2"/>
  <c r="C33" i="2"/>
  <c r="C32" i="2"/>
  <c r="G30" i="2"/>
  <c r="G29" i="2"/>
  <c r="G24" i="2"/>
  <c r="G25" i="2"/>
  <c r="G26" i="2"/>
  <c r="G27" i="2"/>
  <c r="G23" i="2"/>
  <c r="D23" i="2"/>
  <c r="E23" i="2"/>
  <c r="F23" i="2"/>
  <c r="D24" i="2"/>
  <c r="E24" i="2"/>
  <c r="F24" i="2"/>
  <c r="D25" i="2"/>
  <c r="E25" i="2"/>
  <c r="F25" i="2"/>
  <c r="D26" i="2"/>
  <c r="E26" i="2"/>
  <c r="F26" i="2"/>
  <c r="C26" i="2"/>
  <c r="C25" i="2"/>
  <c r="C24" i="2"/>
  <c r="C23" i="2"/>
  <c r="G19" i="2"/>
  <c r="F19" i="2"/>
  <c r="E19" i="2"/>
  <c r="D19" i="2"/>
  <c r="C19" i="2"/>
  <c r="G14" i="2"/>
  <c r="G15" i="2"/>
  <c r="G16" i="2"/>
  <c r="G17" i="2"/>
  <c r="G13" i="2"/>
  <c r="G11" i="2"/>
  <c r="G10" i="2"/>
  <c r="G9" i="2"/>
  <c r="G8" i="2"/>
  <c r="G7" i="2"/>
  <c r="D7" i="2"/>
  <c r="E7" i="2"/>
  <c r="F7" i="2"/>
  <c r="D8" i="2"/>
  <c r="E8" i="2"/>
  <c r="F8" i="2"/>
  <c r="D9" i="2"/>
  <c r="E9" i="2"/>
  <c r="F9" i="2"/>
  <c r="D10" i="2"/>
  <c r="E10" i="2"/>
  <c r="F10" i="2"/>
  <c r="D11" i="2"/>
  <c r="E11" i="2"/>
  <c r="F11" i="2"/>
  <c r="C11" i="2"/>
  <c r="C10" i="2"/>
  <c r="C9" i="2"/>
  <c r="C8" i="2"/>
  <c r="C7" i="2"/>
  <c r="H48" i="2"/>
  <c r="H49" i="2" s="1"/>
  <c r="H24" i="2"/>
  <c r="H36" i="2" s="1"/>
  <c r="H19" i="2"/>
  <c r="H52" i="1" l="1"/>
  <c r="H66" i="1"/>
  <c r="H38" i="2"/>
  <c r="H68" i="1" l="1"/>
  <c r="H40" i="2"/>
  <c r="H43" i="2" s="1"/>
  <c r="H45" i="2" s="1"/>
  <c r="H51" i="2" s="1"/>
  <c r="F44" i="1"/>
  <c r="F54" i="1"/>
  <c r="F57" i="1" s="1"/>
  <c r="E44" i="1"/>
  <c r="D49" i="1"/>
  <c r="D44" i="1"/>
  <c r="C63" i="1"/>
  <c r="C49" i="1"/>
  <c r="C44" i="1"/>
  <c r="H53" i="2" l="1"/>
  <c r="D64" i="1"/>
  <c r="E64" i="1"/>
  <c r="F64" i="1"/>
  <c r="G64" i="1"/>
  <c r="I64" i="1"/>
  <c r="J64" i="1"/>
  <c r="K64" i="1"/>
  <c r="L64" i="1"/>
  <c r="C64" i="1"/>
  <c r="D60" i="1"/>
  <c r="E60" i="1"/>
  <c r="F60" i="1"/>
  <c r="I60" i="1"/>
  <c r="D32" i="1"/>
  <c r="E32" i="1"/>
  <c r="G32" i="1"/>
  <c r="I32" i="1"/>
  <c r="K32" i="1"/>
  <c r="F66" i="1" l="1"/>
  <c r="D66" i="1"/>
  <c r="E66" i="1"/>
  <c r="C66" i="1"/>
  <c r="J32" i="1"/>
  <c r="F32" i="1"/>
  <c r="K50" i="1"/>
  <c r="K52" i="1" s="1"/>
  <c r="J50" i="1"/>
  <c r="I50" i="1"/>
  <c r="I52" i="1" s="1"/>
  <c r="G50" i="1"/>
  <c r="G52" i="1" s="1"/>
  <c r="G54" i="1" s="1"/>
  <c r="G57" i="1" s="1"/>
  <c r="G60" i="1" s="1"/>
  <c r="G66" i="1" s="1"/>
  <c r="F50" i="1"/>
  <c r="D50" i="1"/>
  <c r="D52" i="1" s="1"/>
  <c r="E50" i="1"/>
  <c r="E52" i="1" s="1"/>
  <c r="L50" i="1"/>
  <c r="C7" i="1" s="1"/>
  <c r="I66" i="1"/>
  <c r="C50" i="1"/>
  <c r="C32" i="1"/>
  <c r="C9" i="1" l="1"/>
  <c r="G68" i="1"/>
  <c r="D68" i="1"/>
  <c r="C52" i="1"/>
  <c r="C68" i="1" s="1"/>
  <c r="E68" i="1"/>
  <c r="J52" i="1"/>
  <c r="J54" i="1" s="1"/>
  <c r="F52" i="1"/>
  <c r="F68" i="1" s="1"/>
  <c r="I68" i="1"/>
  <c r="L20" i="1" l="1"/>
  <c r="C10" i="1"/>
  <c r="L21" i="1" s="1"/>
  <c r="K54" i="1"/>
  <c r="J57" i="1"/>
  <c r="K57" i="1" s="1"/>
  <c r="K60" i="1" s="1"/>
  <c r="K66" i="1" s="1"/>
  <c r="L32" i="1" l="1"/>
  <c r="L52" i="1" s="1"/>
  <c r="L54" i="1" s="1"/>
  <c r="L57" i="1" s="1"/>
  <c r="L60" i="1" s="1"/>
  <c r="L66" i="1" s="1"/>
  <c r="L68" i="1" s="1"/>
  <c r="C14" i="1"/>
  <c r="D14" i="1" s="1"/>
  <c r="K68" i="1"/>
  <c r="J60" i="1"/>
  <c r="J66" i="1" s="1"/>
  <c r="J68" i="1" s="1"/>
  <c r="C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I17" authorId="0" shapeId="0" xr:uid="{69FD6CEF-C603-4743-925D-0C701FF036DE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Jan 1 - Sept 30</t>
        </r>
      </text>
    </comment>
  </commentList>
</comments>
</file>

<file path=xl/sharedStrings.xml><?xml version="1.0" encoding="utf-8"?>
<sst xmlns="http://schemas.openxmlformats.org/spreadsheetml/2006/main" count="160" uniqueCount="87">
  <si>
    <t>Insurance</t>
  </si>
  <si>
    <t>Interest</t>
  </si>
  <si>
    <t>Water System Reserve</t>
  </si>
  <si>
    <t>Water Shares</t>
  </si>
  <si>
    <t>Water Standby</t>
  </si>
  <si>
    <t>Water Overage</t>
  </si>
  <si>
    <t>Water Connection</t>
  </si>
  <si>
    <t>Late Fees</t>
  </si>
  <si>
    <t>Water System Capital Improvements</t>
  </si>
  <si>
    <t>Engineering</t>
  </si>
  <si>
    <t>Legal</t>
  </si>
  <si>
    <t>Accounting</t>
  </si>
  <si>
    <t>Administrative (printing, mailing, licenses, supplies)</t>
  </si>
  <si>
    <t>Account Collection Fee</t>
  </si>
  <si>
    <t>Finance Charges</t>
  </si>
  <si>
    <t>Water Base Usage</t>
  </si>
  <si>
    <t>OPERATING INCOME</t>
  </si>
  <si>
    <t>Quarterly Fees</t>
  </si>
  <si>
    <t>Other Income</t>
  </si>
  <si>
    <t>RESERVE INCOME</t>
  </si>
  <si>
    <t>OPERATING EXPENSES</t>
  </si>
  <si>
    <t>Professional Fees</t>
  </si>
  <si>
    <t>Administrative Expenses</t>
  </si>
  <si>
    <t>Other Expenses</t>
  </si>
  <si>
    <t>TOTAL OPERATING EXPENSES</t>
  </si>
  <si>
    <t>NET OPERATING SURPLUS / (DEFICIT)</t>
  </si>
  <si>
    <t>Reserve Contribution</t>
  </si>
  <si>
    <t>TOTAL OPERATING  INCOME</t>
  </si>
  <si>
    <t>TOTAL RESERVE INCOME</t>
  </si>
  <si>
    <t>RESERVE EXPENSES</t>
  </si>
  <si>
    <t>TOTAL RESERVE EXPENSES</t>
  </si>
  <si>
    <t>NET RESERVE SURPLUS / (DEFICIT)</t>
  </si>
  <si>
    <t>NET TOTAL SURPLUS / (DEFICIT)</t>
  </si>
  <si>
    <t>Electricity for Wells and Pumps</t>
  </si>
  <si>
    <t>Health Department Water Testing</t>
  </si>
  <si>
    <t>Telephone/Cellular Service/Telemetry Support</t>
  </si>
  <si>
    <t>Management (Model HOA)</t>
  </si>
  <si>
    <t>Water Operations &amp; Maintenance (TCB)</t>
  </si>
  <si>
    <t>Reserve Account Interest</t>
  </si>
  <si>
    <t xml:space="preserve"> NOTES</t>
  </si>
  <si>
    <t>Red Hawk Ranch Water Company 2022 Budget</t>
  </si>
  <si>
    <t>2017 ACTUAL</t>
  </si>
  <si>
    <t>2018 ACTUAL</t>
  </si>
  <si>
    <t>2019 ACTUAL</t>
  </si>
  <si>
    <t>2020 ACTUAL</t>
  </si>
  <si>
    <t>VARIANCE</t>
  </si>
  <si>
    <t>2022 BUDGET</t>
  </si>
  <si>
    <t>Kept same as 2021 budget</t>
  </si>
  <si>
    <t>Not budgeted</t>
  </si>
  <si>
    <t>4 months at contract rate then 3% increase for auto-renewal</t>
  </si>
  <si>
    <t>Slight decrease</t>
  </si>
  <si>
    <t>2021 connection was Wratten</t>
  </si>
  <si>
    <t>Reduced per actual</t>
  </si>
  <si>
    <t>1) $15K digital meter project: Only completed Previtali, 4 remaining + Bleecker's pond meter, 2) $9K Engineering study for water capacity</t>
  </si>
  <si>
    <t>Quarter 1 (January 1st)</t>
  </si>
  <si>
    <t>Quarter 2 (April 1st)</t>
  </si>
  <si>
    <t>Quarter 3 (July 1st)</t>
  </si>
  <si>
    <t>Quarter 4 (October 1st)</t>
  </si>
  <si>
    <t>TOTAL</t>
  </si>
  <si>
    <t>2022 YTD ACTUAL</t>
  </si>
  <si>
    <t>2022 YTD Plus Anticipated</t>
  </si>
  <si>
    <t>Kept same as 2022 budget</t>
  </si>
  <si>
    <t>Increased based on actuals</t>
  </si>
  <si>
    <t>Digital meter project: 4 remaining + Bleecker's pond meter</t>
  </si>
  <si>
    <t># of active connections</t>
  </si>
  <si>
    <t># of standby</t>
  </si>
  <si>
    <t># of quarters</t>
  </si>
  <si>
    <t>Annual operating expenses less water shares expense</t>
  </si>
  <si>
    <t>Water shares fees / quarter / member</t>
  </si>
  <si>
    <t>Standby fees / quarter / standby member</t>
  </si>
  <si>
    <t>Base usage fees / quarter / connection</t>
  </si>
  <si>
    <t>Inputs &amp; Summary:</t>
  </si>
  <si>
    <t>Quarterly fees for connected member</t>
  </si>
  <si>
    <t>Quarterly fees for stand-by member</t>
  </si>
  <si>
    <t>increase over 2022</t>
  </si>
  <si>
    <t>Red Hawk Ranch Water Company 2023 Budget</t>
  </si>
  <si>
    <t>2023 BUDGET</t>
  </si>
  <si>
    <t>2021 ACTUALS</t>
  </si>
  <si>
    <t>2022 higher than budgeted (Wratten)</t>
  </si>
  <si>
    <t>Increased slightly</t>
  </si>
  <si>
    <t>Water system reserve fees / quarter / connection</t>
  </si>
  <si>
    <t>Water system reserve fees / quarter / standby member</t>
  </si>
  <si>
    <t>Huser either 2022 or 2023, Calodney in 2023</t>
  </si>
  <si>
    <t>Quickbooks Payments Fees</t>
  </si>
  <si>
    <t>Reserve contribution</t>
  </si>
  <si>
    <t>*Reserve study recommends ~$65K</t>
  </si>
  <si>
    <t>Water Connection (used to be operative, moved to reserve in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</si>
</sst>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_(* #,##0.00_);_(* \(#,##0.00\);_(* &quot;-&quot;_);_(@_)"/>
  </numFmts>
  <fonts count="9" x14ac:knownFonts="1">
    <font>
      <sz val="12"/>
      <color theme="1"/>
      <name val="Calibri"/>
      <family val="2"/>
      <scheme val="minor"/>
    </font>
    <font>
      <b/>
      <sz val="12"/>
      <color rgb="FF323232"/>
      <name val="Arial"/>
      <family val="2"/>
    </font>
    <font>
      <sz val="12"/>
      <color theme="1"/>
      <name val="Calibri"/>
      <family val="2"/>
      <scheme val="minor"/>
    </font>
    <font>
      <sz val="12"/>
      <color rgb="FF323232"/>
      <name val="Arial"/>
      <family val="2"/>
    </font>
    <font>
      <sz val="12"/>
      <color theme="1"/>
      <name val="Arial"/>
      <family val="2"/>
    </font>
    <font>
      <sz val="8"/>
      <name val="Calibri"/>
      <family val="2"/>
      <scheme val="minor"/>
    </font>
    <font>
      <b/>
      <sz val="10"/>
      <color rgb="FF000000"/>
      <name val="Tahoma"/>
      <family val="2"/>
    </font>
    <font>
      <sz val="10"/>
      <color rgb="FF000000"/>
      <name val="Tahoma"/>
      <family val="2"/>
    </font>
    <font>
      <i/>
      <sz val="12"/>
      <color rgb="FF32323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5">
    <xf numFmtId="0" fontId="0" fillId="0" borderId="0" xfId="0"/>
    <xf numFmtId="49" fontId="1" fillId="0" borderId="0" xfId="0" applyNumberFormat="1" applyFont="1"/>
    <xf numFmtId="49" fontId="1" fillId="0" borderId="0" xfId="0" applyNumberFormat="1" applyFont="1" applyAlignment="1">
      <alignment horizontal="center"/>
    </xf>
    <xf numFmtId="0" fontId="1" fillId="0" borderId="0" xfId="0" applyNumberFormat="1" applyFont="1"/>
    <xf numFmtId="0" fontId="0" fillId="0" borderId="0" xfId="0" applyFont="1"/>
    <xf numFmtId="49" fontId="1" fillId="0" borderId="3" xfId="0" applyNumberFormat="1" applyFont="1" applyBorder="1" applyAlignment="1">
      <alignment horizontal="center" wrapText="1"/>
    </xf>
    <xf numFmtId="49" fontId="3" fillId="0" borderId="0" xfId="0" applyNumberFormat="1" applyFont="1" applyAlignment="1">
      <alignment horizontal="left" indent="3"/>
    </xf>
    <xf numFmtId="165" fontId="3" fillId="0" borderId="0" xfId="2" applyNumberFormat="1" applyFont="1"/>
    <xf numFmtId="164" fontId="3" fillId="0" borderId="0" xfId="1" applyNumberFormat="1" applyFont="1"/>
    <xf numFmtId="165" fontId="1" fillId="0" borderId="1" xfId="2" applyNumberFormat="1" applyFont="1" applyBorder="1"/>
    <xf numFmtId="49" fontId="3" fillId="0" borderId="0" xfId="0" applyNumberFormat="1" applyFont="1" applyAlignment="1">
      <alignment horizontal="left" indent="2"/>
    </xf>
    <xf numFmtId="49" fontId="1" fillId="0" borderId="0" xfId="0" applyNumberFormat="1" applyFont="1" applyAlignment="1">
      <alignment horizontal="left"/>
    </xf>
    <xf numFmtId="0" fontId="4" fillId="0" borderId="0" xfId="0" applyFont="1"/>
    <xf numFmtId="49" fontId="1" fillId="2" borderId="0" xfId="0" applyNumberFormat="1" applyFont="1" applyFill="1" applyAlignment="1">
      <alignment horizontal="left" indent="3"/>
    </xf>
    <xf numFmtId="49" fontId="1" fillId="2" borderId="0" xfId="0" applyNumberFormat="1" applyFont="1" applyFill="1"/>
    <xf numFmtId="0" fontId="0" fillId="2" borderId="0" xfId="0" applyFill="1"/>
    <xf numFmtId="49" fontId="3" fillId="0" borderId="0" xfId="0" applyNumberFormat="1" applyFont="1" applyAlignment="1">
      <alignment horizontal="left" indent="4"/>
    </xf>
    <xf numFmtId="0" fontId="4" fillId="0" borderId="0" xfId="0" applyFont="1" applyFill="1"/>
    <xf numFmtId="44" fontId="1" fillId="0" borderId="2" xfId="2" applyNumberFormat="1" applyFont="1" applyBorder="1"/>
    <xf numFmtId="165" fontId="1" fillId="0" borderId="2" xfId="2" applyNumberFormat="1" applyFont="1" applyBorder="1"/>
    <xf numFmtId="41" fontId="3" fillId="0" borderId="0" xfId="2" applyNumberFormat="1" applyFont="1"/>
    <xf numFmtId="44" fontId="3" fillId="0" borderId="0" xfId="2" applyNumberFormat="1" applyFont="1"/>
    <xf numFmtId="166" fontId="3" fillId="0" borderId="0" xfId="2" applyNumberFormat="1" applyFont="1"/>
    <xf numFmtId="37" fontId="3" fillId="0" borderId="0" xfId="2" applyNumberFormat="1" applyFont="1"/>
    <xf numFmtId="49" fontId="3" fillId="0" borderId="0" xfId="0" applyNumberFormat="1" applyFont="1"/>
    <xf numFmtId="0" fontId="3" fillId="0" borderId="0" xfId="1" applyNumberFormat="1" applyFont="1" applyAlignment="1">
      <alignment horizontal="right"/>
    </xf>
    <xf numFmtId="165" fontId="3" fillId="0" borderId="0" xfId="2" applyNumberFormat="1" applyFont="1" applyAlignment="1">
      <alignment horizontal="right"/>
    </xf>
    <xf numFmtId="44" fontId="3" fillId="0" borderId="0" xfId="1" applyNumberFormat="1" applyFont="1" applyAlignment="1">
      <alignment horizontal="right"/>
    </xf>
    <xf numFmtId="49" fontId="8" fillId="0" borderId="0" xfId="0" applyNumberFormat="1" applyFont="1"/>
    <xf numFmtId="44" fontId="1" fillId="0" borderId="0" xfId="0" applyNumberFormat="1" applyFont="1"/>
    <xf numFmtId="9" fontId="8" fillId="0" borderId="0" xfId="3" applyFont="1"/>
    <xf numFmtId="0" fontId="8" fillId="0" borderId="0" xfId="0" applyNumberFormat="1" applyFont="1"/>
    <xf numFmtId="41" fontId="3" fillId="0" borderId="0" xfId="2" applyNumberFormat="1" applyFont="1" applyFill="1"/>
    <xf numFmtId="44" fontId="3" fillId="0" borderId="0" xfId="2" applyFont="1" applyAlignment="1">
      <alignment horizontal="right"/>
    </xf>
    <xf numFmtId="165" fontId="3" fillId="0" borderId="0" xfId="2" applyNumberFormat="1" applyFont="1" applyFill="1" applyAlignment="1">
      <alignment horizontal="righ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206288</xdr:colOff>
      <xdr:row>1</xdr:row>
      <xdr:rowOff>25400</xdr:rowOff>
    </xdr:to>
    <xdr:sp macro="" textlink="">
      <xdr:nvSpPr>
        <xdr:cNvPr id="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6FCD5A4E-B7A1-E94C-A867-86490C69ADB6}"/>
            </a:ext>
          </a:extLst>
        </xdr:cNvPr>
        <xdr:cNvSpPr/>
      </xdr:nvSpPr>
      <xdr:spPr bwMode="auto">
        <a:xfrm>
          <a:off x="0" y="0"/>
          <a:ext cx="1031789" cy="2159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206288</xdr:colOff>
      <xdr:row>1</xdr:row>
      <xdr:rowOff>25400</xdr:rowOff>
    </xdr:to>
    <xdr:sp macro="" textlink="">
      <xdr:nvSpPr>
        <xdr:cNvPr id="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18B6AC14-AC60-A941-8E1E-3D8C8E1D79C8}"/>
            </a:ext>
          </a:extLst>
        </xdr:cNvPr>
        <xdr:cNvSpPr/>
      </xdr:nvSpPr>
      <xdr:spPr bwMode="auto">
        <a:xfrm>
          <a:off x="0" y="0"/>
          <a:ext cx="1031789" cy="2159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206288</xdr:colOff>
      <xdr:row>1</xdr:row>
      <xdr:rowOff>25400</xdr:rowOff>
    </xdr:to>
    <xdr:pic>
      <xdr:nvPicPr>
        <xdr:cNvPr id="4" name="FILTER" hidden="1">
          <a:extLst>
            <a:ext uri="{FF2B5EF4-FFF2-40B4-BE49-F238E27FC236}">
              <a16:creationId xmlns:a16="http://schemas.microsoft.com/office/drawing/2014/main" id="{121E1102-BCF1-8A43-ADA3-D18C0FBF11A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31789" cy="2159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206288</xdr:colOff>
      <xdr:row>1</xdr:row>
      <xdr:rowOff>25400</xdr:rowOff>
    </xdr:to>
    <xdr:pic>
      <xdr:nvPicPr>
        <xdr:cNvPr id="5" name="HEADER" hidden="1">
          <a:extLst>
            <a:ext uri="{FF2B5EF4-FFF2-40B4-BE49-F238E27FC236}">
              <a16:creationId xmlns:a16="http://schemas.microsoft.com/office/drawing/2014/main" id="{BEA6B15C-9EE8-7740-9923-D8BAADE35A1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31789" cy="2159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206288</xdr:colOff>
      <xdr:row>1</xdr:row>
      <xdr:rowOff>25400</xdr:rowOff>
    </xdr:to>
    <xdr:sp macro="" textlink="">
      <xdr:nvSpPr>
        <xdr:cNvPr id="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7E7B2FA8-5C06-354C-8836-E027504996A4}"/>
            </a:ext>
          </a:extLst>
        </xdr:cNvPr>
        <xdr:cNvSpPr/>
      </xdr:nvSpPr>
      <xdr:spPr bwMode="auto">
        <a:xfrm>
          <a:off x="0" y="0"/>
          <a:ext cx="434888" cy="228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206288</xdr:colOff>
      <xdr:row>1</xdr:row>
      <xdr:rowOff>25400</xdr:rowOff>
    </xdr:to>
    <xdr:sp macro="" textlink="">
      <xdr:nvSpPr>
        <xdr:cNvPr id="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3BAB30C-00D3-3045-9360-F09C4CBA67D3}"/>
            </a:ext>
          </a:extLst>
        </xdr:cNvPr>
        <xdr:cNvSpPr/>
      </xdr:nvSpPr>
      <xdr:spPr bwMode="auto">
        <a:xfrm>
          <a:off x="0" y="0"/>
          <a:ext cx="434888" cy="228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206288</xdr:colOff>
      <xdr:row>1</xdr:row>
      <xdr:rowOff>25400</xdr:rowOff>
    </xdr:to>
    <xdr:pic>
      <xdr:nvPicPr>
        <xdr:cNvPr id="4" name="FILTER" hidden="1">
          <a:extLst>
            <a:ext uri="{FF2B5EF4-FFF2-40B4-BE49-F238E27FC236}">
              <a16:creationId xmlns:a16="http://schemas.microsoft.com/office/drawing/2014/main" id="{947AA857-6655-904B-8620-4F704E211F7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34888" cy="228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206288</xdr:colOff>
      <xdr:row>1</xdr:row>
      <xdr:rowOff>25400</xdr:rowOff>
    </xdr:to>
    <xdr:pic>
      <xdr:nvPicPr>
        <xdr:cNvPr id="5" name="HEADER" hidden="1">
          <a:extLst>
            <a:ext uri="{FF2B5EF4-FFF2-40B4-BE49-F238E27FC236}">
              <a16:creationId xmlns:a16="http://schemas.microsoft.com/office/drawing/2014/main" id="{1379EC0D-75AE-CE40-A0DE-65072FDD60E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34888" cy="228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FE17BC-2A19-A54B-B720-80D48A96E8B9}">
  <sheetPr>
    <pageSetUpPr fitToPage="1"/>
  </sheetPr>
  <dimension ref="A1:O68"/>
  <sheetViews>
    <sheetView showGridLines="0" tabSelected="1" zoomScale="115" zoomScaleNormal="115" workbookViewId="0">
      <selection activeCell="H10" sqref="H10"/>
    </sheetView>
  </sheetViews>
  <sheetFormatPr baseColWidth="10" defaultColWidth="10.6640625" defaultRowHeight="16" x14ac:dyDescent="0.2"/>
  <cols>
    <col min="1" max="1" width="3" style="3" customWidth="1"/>
    <col min="2" max="2" width="50.83203125" style="3" customWidth="1"/>
    <col min="3" max="12" width="12.83203125" style="3" customWidth="1"/>
    <col min="13" max="13" width="58.33203125" style="4" customWidth="1"/>
    <col min="14" max="16384" width="10.6640625" style="4"/>
  </cols>
  <sheetData>
    <row r="1" spans="1:12" x14ac:dyDescent="0.2">
      <c r="A1" s="11" t="s">
        <v>75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2">
      <c r="A3" s="1" t="s">
        <v>71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2">
      <c r="A4" s="1"/>
      <c r="B4" s="24" t="s">
        <v>66</v>
      </c>
      <c r="C4" s="25">
        <v>4</v>
      </c>
      <c r="D4" s="1"/>
      <c r="E4" s="1"/>
      <c r="F4" s="1"/>
      <c r="G4" s="1"/>
      <c r="H4" s="1"/>
      <c r="I4" s="1"/>
      <c r="J4" s="1"/>
      <c r="K4" s="1"/>
      <c r="L4" s="1"/>
    </row>
    <row r="5" spans="1:12" x14ac:dyDescent="0.2">
      <c r="A5" s="1"/>
      <c r="B5" s="24" t="s">
        <v>64</v>
      </c>
      <c r="C5" s="25">
        <v>18</v>
      </c>
      <c r="D5" s="1"/>
      <c r="E5" s="1"/>
      <c r="F5" s="1"/>
      <c r="G5" s="1"/>
      <c r="H5" s="1"/>
      <c r="I5" s="1"/>
      <c r="J5" s="1"/>
      <c r="K5" s="1"/>
      <c r="L5" s="1"/>
    </row>
    <row r="6" spans="1:12" x14ac:dyDescent="0.2">
      <c r="A6" s="1"/>
      <c r="B6" s="24" t="s">
        <v>65</v>
      </c>
      <c r="C6" s="25">
        <v>3</v>
      </c>
      <c r="D6" s="1"/>
      <c r="E6" s="1"/>
      <c r="F6" s="1"/>
      <c r="G6" s="1"/>
      <c r="H6" s="1"/>
      <c r="I6" s="1"/>
      <c r="J6" s="1"/>
      <c r="K6" s="1"/>
      <c r="L6" s="1"/>
    </row>
    <row r="7" spans="1:12" x14ac:dyDescent="0.2">
      <c r="A7" s="1"/>
      <c r="B7" s="24" t="s">
        <v>67</v>
      </c>
      <c r="C7" s="26">
        <f>L50-L46</f>
        <v>37877.020000000004</v>
      </c>
      <c r="D7" s="1"/>
      <c r="E7" s="1"/>
      <c r="F7" s="1"/>
      <c r="G7" s="1"/>
      <c r="H7" s="1"/>
      <c r="I7" s="1"/>
      <c r="J7" s="1"/>
      <c r="K7" s="1"/>
      <c r="L7" s="1"/>
    </row>
    <row r="8" spans="1:12" x14ac:dyDescent="0.2">
      <c r="A8" s="1"/>
      <c r="B8" s="24" t="s">
        <v>84</v>
      </c>
      <c r="C8" s="34">
        <f>L57</f>
        <v>16366.979999999996</v>
      </c>
      <c r="D8" s="28" t="s">
        <v>85</v>
      </c>
      <c r="E8" s="1"/>
      <c r="F8" s="1"/>
      <c r="G8" s="1"/>
      <c r="H8" s="1"/>
      <c r="I8" s="1"/>
      <c r="J8" s="1"/>
      <c r="K8" s="1"/>
      <c r="L8" s="1"/>
    </row>
    <row r="9" spans="1:12" x14ac:dyDescent="0.2">
      <c r="A9" s="1"/>
      <c r="B9" s="24" t="s">
        <v>70</v>
      </c>
      <c r="C9" s="27">
        <f>C7/C4/C5</f>
        <v>526.06972222222225</v>
      </c>
      <c r="D9" s="27"/>
      <c r="E9" s="1"/>
      <c r="F9" s="1"/>
      <c r="G9" s="33"/>
      <c r="H9" s="1"/>
      <c r="I9" s="1"/>
      <c r="J9" s="1"/>
      <c r="K9" s="1"/>
      <c r="L9" s="1"/>
    </row>
    <row r="10" spans="1:12" x14ac:dyDescent="0.2">
      <c r="A10" s="1"/>
      <c r="B10" s="24" t="s">
        <v>80</v>
      </c>
      <c r="C10" s="27">
        <f>750-C9-C11</f>
        <v>140.18027777777775</v>
      </c>
      <c r="D10" s="1"/>
      <c r="E10" s="1"/>
      <c r="F10" s="1"/>
      <c r="G10" s="1"/>
      <c r="H10" s="1"/>
      <c r="I10" s="1"/>
      <c r="J10" s="1"/>
      <c r="K10" s="1"/>
      <c r="L10" s="1"/>
    </row>
    <row r="11" spans="1:12" x14ac:dyDescent="0.2">
      <c r="A11" s="1"/>
      <c r="B11" s="24" t="s">
        <v>68</v>
      </c>
      <c r="C11" s="27">
        <v>83.75</v>
      </c>
      <c r="D11" s="1"/>
      <c r="E11" s="1"/>
      <c r="F11" s="1"/>
      <c r="G11" s="1"/>
      <c r="H11" s="1"/>
      <c r="I11" s="1"/>
      <c r="J11" s="1"/>
      <c r="K11" s="1"/>
      <c r="L11" s="1"/>
    </row>
    <row r="12" spans="1:12" x14ac:dyDescent="0.2">
      <c r="A12" s="1"/>
      <c r="B12" s="24" t="s">
        <v>81</v>
      </c>
      <c r="C12" s="27">
        <v>273.25</v>
      </c>
      <c r="D12" s="1"/>
      <c r="E12" s="1"/>
      <c r="F12" s="1"/>
      <c r="G12" s="1"/>
      <c r="H12" s="1"/>
      <c r="I12" s="1"/>
      <c r="J12" s="1"/>
      <c r="K12" s="1"/>
      <c r="L12" s="1"/>
    </row>
    <row r="13" spans="1:12" x14ac:dyDescent="0.2">
      <c r="A13" s="1"/>
      <c r="B13" s="24" t="s">
        <v>69</v>
      </c>
      <c r="C13" s="27">
        <v>0</v>
      </c>
      <c r="D13" s="1"/>
      <c r="E13" s="1"/>
      <c r="F13" s="1"/>
      <c r="G13" s="1"/>
      <c r="H13" s="1"/>
      <c r="I13" s="1"/>
      <c r="J13" s="1"/>
      <c r="K13" s="1"/>
      <c r="L13" s="1"/>
    </row>
    <row r="14" spans="1:12" x14ac:dyDescent="0.2">
      <c r="B14" s="3" t="s">
        <v>72</v>
      </c>
      <c r="C14" s="29">
        <f>C9+C10+C11</f>
        <v>750</v>
      </c>
      <c r="D14" s="30">
        <f>(C14-500)/500</f>
        <v>0.5</v>
      </c>
      <c r="E14" s="31" t="s">
        <v>74</v>
      </c>
    </row>
    <row r="15" spans="1:12" x14ac:dyDescent="0.2">
      <c r="B15" s="3" t="s">
        <v>73</v>
      </c>
      <c r="C15" s="29">
        <f>C11+C12</f>
        <v>357</v>
      </c>
      <c r="D15" s="30">
        <f>(C15-238)/238</f>
        <v>0.5</v>
      </c>
      <c r="E15" s="31" t="s">
        <v>74</v>
      </c>
      <c r="J15" s="29"/>
    </row>
    <row r="16" spans="1:12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5" ht="52" thickBot="1" x14ac:dyDescent="0.25">
      <c r="A17" s="2"/>
      <c r="B17" s="2"/>
      <c r="C17" s="5" t="s">
        <v>41</v>
      </c>
      <c r="D17" s="5" t="s">
        <v>42</v>
      </c>
      <c r="E17" s="5" t="s">
        <v>43</v>
      </c>
      <c r="F17" s="5" t="s">
        <v>44</v>
      </c>
      <c r="G17" s="5" t="s">
        <v>77</v>
      </c>
      <c r="H17" s="5" t="s">
        <v>46</v>
      </c>
      <c r="I17" s="5" t="s">
        <v>59</v>
      </c>
      <c r="J17" s="5" t="s">
        <v>60</v>
      </c>
      <c r="K17" s="5" t="s">
        <v>45</v>
      </c>
      <c r="L17" s="5" t="s">
        <v>76</v>
      </c>
      <c r="M17" s="5" t="s">
        <v>39</v>
      </c>
    </row>
    <row r="18" spans="1:15" x14ac:dyDescent="0.2">
      <c r="A18" s="1"/>
      <c r="B18" s="1" t="s">
        <v>16</v>
      </c>
      <c r="C18" s="23"/>
      <c r="D18" s="1"/>
      <c r="E18" s="1"/>
      <c r="F18" s="1"/>
      <c r="G18" s="1"/>
      <c r="H18" s="1"/>
      <c r="I18" s="1"/>
      <c r="J18" s="1"/>
      <c r="K18" s="1"/>
      <c r="L18" s="1"/>
    </row>
    <row r="19" spans="1:15" customFormat="1" x14ac:dyDescent="0.2">
      <c r="A19" s="1"/>
      <c r="B19" s="13" t="s">
        <v>17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5"/>
    </row>
    <row r="20" spans="1:15" x14ac:dyDescent="0.2">
      <c r="A20" s="1"/>
      <c r="B20" s="16" t="s">
        <v>15</v>
      </c>
      <c r="C20" s="23">
        <v>17275.5</v>
      </c>
      <c r="D20" s="23">
        <v>17537.5</v>
      </c>
      <c r="E20" s="23">
        <v>18400</v>
      </c>
      <c r="F20" s="23">
        <v>19550</v>
      </c>
      <c r="G20" s="23">
        <v>19550</v>
      </c>
      <c r="H20" s="23">
        <v>19550</v>
      </c>
      <c r="I20" s="23">
        <v>15525</v>
      </c>
      <c r="J20" s="23">
        <f>I20+5175</f>
        <v>20700</v>
      </c>
      <c r="K20" s="23">
        <f>J20-H20</f>
        <v>1150</v>
      </c>
      <c r="L20" s="23">
        <f>C9*C4*C5</f>
        <v>37877.020000000004</v>
      </c>
      <c r="M20" s="12" t="s">
        <v>78</v>
      </c>
    </row>
    <row r="21" spans="1:15" x14ac:dyDescent="0.2">
      <c r="A21" s="1"/>
      <c r="B21" s="16" t="s">
        <v>2</v>
      </c>
      <c r="C21" s="20">
        <v>10815</v>
      </c>
      <c r="D21" s="20">
        <v>10815</v>
      </c>
      <c r="E21" s="20">
        <v>10815</v>
      </c>
      <c r="F21" s="20">
        <v>10815</v>
      </c>
      <c r="G21" s="20">
        <v>10815</v>
      </c>
      <c r="H21" s="20">
        <v>10815</v>
      </c>
      <c r="I21" s="20">
        <v>8111.25</v>
      </c>
      <c r="J21" s="20">
        <f>I21+3743.25</f>
        <v>11854.5</v>
      </c>
      <c r="K21" s="23">
        <f t="shared" ref="K21:K30" si="0">J21-H21</f>
        <v>1039.5</v>
      </c>
      <c r="L21" s="20">
        <f>(C10*C4*C5)+(C12*C4*C6)</f>
        <v>13371.979999999998</v>
      </c>
      <c r="M21" s="12"/>
    </row>
    <row r="22" spans="1:15" x14ac:dyDescent="0.2">
      <c r="A22" s="1"/>
      <c r="B22" s="16" t="s">
        <v>4</v>
      </c>
      <c r="C22" s="20">
        <v>612</v>
      </c>
      <c r="D22" s="20">
        <v>586.5</v>
      </c>
      <c r="E22" s="20">
        <v>510</v>
      </c>
      <c r="F22" s="20">
        <v>408</v>
      </c>
      <c r="G22" s="20">
        <v>408</v>
      </c>
      <c r="H22" s="20">
        <v>408</v>
      </c>
      <c r="I22" s="20">
        <v>229.5</v>
      </c>
      <c r="J22" s="20">
        <f>I22+76.5</f>
        <v>306</v>
      </c>
      <c r="K22" s="23">
        <f t="shared" si="0"/>
        <v>-102</v>
      </c>
      <c r="L22" s="32">
        <v>0</v>
      </c>
      <c r="M22" s="12"/>
    </row>
    <row r="23" spans="1:15" x14ac:dyDescent="0.2">
      <c r="A23" s="1"/>
      <c r="B23" s="16" t="s">
        <v>3</v>
      </c>
      <c r="C23" s="20">
        <v>6048</v>
      </c>
      <c r="D23" s="20">
        <v>7035</v>
      </c>
      <c r="E23" s="20">
        <v>7035</v>
      </c>
      <c r="F23" s="20">
        <v>7035</v>
      </c>
      <c r="G23" s="20">
        <v>7035</v>
      </c>
      <c r="H23" s="20">
        <v>7035</v>
      </c>
      <c r="I23" s="20">
        <v>5276.25</v>
      </c>
      <c r="J23" s="20">
        <f>I23+1758.75</f>
        <v>7035</v>
      </c>
      <c r="K23" s="20">
        <f t="shared" si="0"/>
        <v>0</v>
      </c>
      <c r="L23" s="20">
        <f>C11*C4*(C5+C6)</f>
        <v>7035</v>
      </c>
      <c r="M23" s="12"/>
    </row>
    <row r="24" spans="1:15" x14ac:dyDescent="0.2">
      <c r="A24" s="1"/>
      <c r="B24" s="16" t="s">
        <v>5</v>
      </c>
      <c r="C24" s="20">
        <v>14306</v>
      </c>
      <c r="D24" s="20">
        <v>26997.599999999999</v>
      </c>
      <c r="E24" s="20">
        <v>14723.2</v>
      </c>
      <c r="F24" s="20">
        <v>6905.32</v>
      </c>
      <c r="G24" s="20">
        <v>5000</v>
      </c>
      <c r="H24" s="20">
        <v>4000</v>
      </c>
      <c r="I24" s="20">
        <v>0</v>
      </c>
      <c r="J24" s="20">
        <v>3405.3</v>
      </c>
      <c r="K24" s="20">
        <f t="shared" si="0"/>
        <v>-594.69999999999982</v>
      </c>
      <c r="L24" s="20">
        <v>3000</v>
      </c>
      <c r="M24" s="12"/>
    </row>
    <row r="25" spans="1:15" customFormat="1" x14ac:dyDescent="0.2">
      <c r="A25" s="1"/>
      <c r="B25" s="13" t="s">
        <v>18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5"/>
      <c r="N25" s="15"/>
      <c r="O25" s="15"/>
    </row>
    <row r="26" spans="1:15" x14ac:dyDescent="0.2">
      <c r="A26" s="1"/>
      <c r="B26" s="16" t="s">
        <v>86</v>
      </c>
      <c r="C26" s="20">
        <v>10000</v>
      </c>
      <c r="D26" s="20">
        <v>0</v>
      </c>
      <c r="E26" s="20">
        <v>10000</v>
      </c>
      <c r="F26" s="20">
        <v>0</v>
      </c>
      <c r="G26" s="20">
        <v>10000</v>
      </c>
      <c r="H26" s="20">
        <v>0</v>
      </c>
      <c r="I26" s="20">
        <v>0</v>
      </c>
      <c r="J26" s="20">
        <v>0</v>
      </c>
      <c r="K26" s="20">
        <f t="shared" si="0"/>
        <v>0</v>
      </c>
      <c r="L26" s="32"/>
      <c r="M26" s="12"/>
    </row>
    <row r="27" spans="1:15" x14ac:dyDescent="0.2">
      <c r="A27" s="1"/>
      <c r="B27" s="16" t="s">
        <v>1</v>
      </c>
      <c r="C27" s="20">
        <v>302.12</v>
      </c>
      <c r="D27" s="20">
        <v>386.85</v>
      </c>
      <c r="E27" s="20">
        <v>529.53</v>
      </c>
      <c r="F27" s="20">
        <v>144.61000000000001</v>
      </c>
      <c r="G27" s="20">
        <v>25</v>
      </c>
      <c r="H27" s="20">
        <v>0</v>
      </c>
      <c r="I27" s="20">
        <v>55.42</v>
      </c>
      <c r="J27" s="20">
        <v>75</v>
      </c>
      <c r="K27" s="20">
        <f t="shared" si="0"/>
        <v>75</v>
      </c>
      <c r="L27" s="20">
        <v>0</v>
      </c>
      <c r="M27" s="12" t="s">
        <v>48</v>
      </c>
    </row>
    <row r="28" spans="1:15" x14ac:dyDescent="0.2">
      <c r="A28" s="1"/>
      <c r="B28" s="16" t="s">
        <v>7</v>
      </c>
      <c r="C28" s="20">
        <v>0</v>
      </c>
      <c r="D28" s="20">
        <v>500</v>
      </c>
      <c r="E28" s="20">
        <v>300</v>
      </c>
      <c r="F28" s="20">
        <v>250</v>
      </c>
      <c r="G28" s="20">
        <v>0</v>
      </c>
      <c r="H28" s="20">
        <v>0</v>
      </c>
      <c r="I28" s="20">
        <v>200</v>
      </c>
      <c r="J28" s="20">
        <f>I28</f>
        <v>200</v>
      </c>
      <c r="K28" s="20">
        <f t="shared" si="0"/>
        <v>200</v>
      </c>
      <c r="L28" s="20">
        <v>0</v>
      </c>
      <c r="M28" s="12" t="s">
        <v>48</v>
      </c>
      <c r="N28" s="7"/>
    </row>
    <row r="29" spans="1:15" x14ac:dyDescent="0.2">
      <c r="A29" s="1"/>
      <c r="B29" s="16" t="s">
        <v>14</v>
      </c>
      <c r="C29" s="20">
        <v>0</v>
      </c>
      <c r="D29" s="20">
        <v>0</v>
      </c>
      <c r="E29" s="20">
        <v>0</v>
      </c>
      <c r="F29" s="20">
        <v>45.44</v>
      </c>
      <c r="G29" s="20">
        <v>0</v>
      </c>
      <c r="H29" s="20">
        <v>0</v>
      </c>
      <c r="I29" s="20">
        <v>0</v>
      </c>
      <c r="J29" s="20">
        <v>0</v>
      </c>
      <c r="K29" s="20">
        <f t="shared" si="0"/>
        <v>0</v>
      </c>
      <c r="L29" s="20">
        <v>0</v>
      </c>
      <c r="M29" s="12" t="s">
        <v>48</v>
      </c>
      <c r="N29" s="8"/>
    </row>
    <row r="30" spans="1:15" x14ac:dyDescent="0.2">
      <c r="A30" s="1"/>
      <c r="B30" s="16" t="s">
        <v>13</v>
      </c>
      <c r="C30" s="20">
        <v>0</v>
      </c>
      <c r="D30" s="20">
        <v>0</v>
      </c>
      <c r="E30" s="20">
        <v>0</v>
      </c>
      <c r="F30" s="20">
        <v>1514.65</v>
      </c>
      <c r="G30" s="20">
        <v>0</v>
      </c>
      <c r="H30" s="20">
        <v>0</v>
      </c>
      <c r="I30" s="20">
        <v>0</v>
      </c>
      <c r="J30" s="20">
        <v>0</v>
      </c>
      <c r="K30" s="20">
        <f t="shared" si="0"/>
        <v>0</v>
      </c>
      <c r="L30" s="20">
        <v>0</v>
      </c>
      <c r="M30" s="12" t="s">
        <v>48</v>
      </c>
      <c r="N30" s="8"/>
    </row>
    <row r="31" spans="1:15" ht="8" customHeight="1" x14ac:dyDescent="0.2">
      <c r="A31" s="1"/>
      <c r="B31" s="6"/>
      <c r="N31" s="8"/>
    </row>
    <row r="32" spans="1:15" x14ac:dyDescent="0.2">
      <c r="A32" s="1"/>
      <c r="B32" s="1" t="s">
        <v>27</v>
      </c>
      <c r="C32" s="19">
        <f>SUM(C20:C30)</f>
        <v>59358.62</v>
      </c>
      <c r="D32" s="19">
        <f t="shared" ref="D32:L32" si="1">SUM(D20:D30)</f>
        <v>63858.45</v>
      </c>
      <c r="E32" s="19">
        <f t="shared" si="1"/>
        <v>62312.729999999996</v>
      </c>
      <c r="F32" s="19">
        <f t="shared" si="1"/>
        <v>46668.020000000004</v>
      </c>
      <c r="G32" s="19">
        <f t="shared" si="1"/>
        <v>52833</v>
      </c>
      <c r="H32" s="19">
        <f t="shared" si="1"/>
        <v>41808</v>
      </c>
      <c r="I32" s="19">
        <f t="shared" si="1"/>
        <v>29397.42</v>
      </c>
      <c r="J32" s="19">
        <f t="shared" si="1"/>
        <v>43575.8</v>
      </c>
      <c r="K32" s="19">
        <f t="shared" si="1"/>
        <v>1767.8000000000002</v>
      </c>
      <c r="L32" s="19">
        <f t="shared" si="1"/>
        <v>61284</v>
      </c>
    </row>
    <row r="33" spans="1:15" x14ac:dyDescent="0.2">
      <c r="A33" s="1"/>
      <c r="B33" s="1"/>
      <c r="N33" s="8"/>
    </row>
    <row r="34" spans="1:15" x14ac:dyDescent="0.2">
      <c r="A34" s="1"/>
      <c r="B34" s="1" t="s">
        <v>20</v>
      </c>
      <c r="C34" s="1"/>
      <c r="D34" s="1"/>
      <c r="E34" s="1"/>
      <c r="F34" s="1"/>
      <c r="G34" s="1"/>
      <c r="H34" s="1"/>
      <c r="I34" s="1"/>
      <c r="J34" s="1"/>
      <c r="K34" s="1"/>
      <c r="L34" s="1"/>
      <c r="N34" s="8"/>
    </row>
    <row r="35" spans="1:15" customFormat="1" x14ac:dyDescent="0.2">
      <c r="A35" s="1"/>
      <c r="B35" s="13" t="s">
        <v>21</v>
      </c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15"/>
    </row>
    <row r="36" spans="1:15" x14ac:dyDescent="0.2">
      <c r="A36" s="1"/>
      <c r="B36" s="6" t="s">
        <v>37</v>
      </c>
      <c r="C36" s="20">
        <v>5435.2</v>
      </c>
      <c r="D36" s="20">
        <v>18474.14</v>
      </c>
      <c r="E36" s="20">
        <v>4357.25</v>
      </c>
      <c r="F36" s="20">
        <v>13013.82</v>
      </c>
      <c r="G36" s="20">
        <v>9000</v>
      </c>
      <c r="H36" s="20">
        <v>9000</v>
      </c>
      <c r="I36" s="20">
        <v>5410</v>
      </c>
      <c r="J36" s="20">
        <f>I36+(500*3)</f>
        <v>6910</v>
      </c>
      <c r="K36" s="20">
        <f t="shared" ref="K36:K49" si="2">J36-H36</f>
        <v>-2090</v>
      </c>
      <c r="L36" s="20">
        <v>9000</v>
      </c>
      <c r="M36" s="12" t="s">
        <v>61</v>
      </c>
      <c r="N36" s="8"/>
    </row>
    <row r="37" spans="1:15" x14ac:dyDescent="0.2">
      <c r="A37" s="1"/>
      <c r="B37" s="6" t="s">
        <v>36</v>
      </c>
      <c r="C37" s="20">
        <v>2400</v>
      </c>
      <c r="D37" s="20">
        <v>2400</v>
      </c>
      <c r="E37" s="20">
        <v>4600</v>
      </c>
      <c r="F37" s="20">
        <v>9618.19</v>
      </c>
      <c r="G37" s="20">
        <v>10200</v>
      </c>
      <c r="H37" s="20">
        <v>11934</v>
      </c>
      <c r="I37" s="20">
        <v>9108.75</v>
      </c>
      <c r="J37" s="20">
        <f>I37+(1004.25*3)</f>
        <v>12121.5</v>
      </c>
      <c r="K37" s="20">
        <f t="shared" si="2"/>
        <v>187.5</v>
      </c>
      <c r="L37" s="20">
        <f>(1004.25*4)+(1004.25*1.03*8)</f>
        <v>12292.02</v>
      </c>
      <c r="M37" s="12" t="s">
        <v>49</v>
      </c>
      <c r="N37" s="8"/>
    </row>
    <row r="38" spans="1:15" x14ac:dyDescent="0.2">
      <c r="A38" s="1"/>
      <c r="B38" s="6" t="s">
        <v>9</v>
      </c>
      <c r="C38" s="20">
        <v>0</v>
      </c>
      <c r="D38" s="20">
        <v>5000</v>
      </c>
      <c r="E38" s="20">
        <v>0</v>
      </c>
      <c r="F38" s="20">
        <v>6270.71</v>
      </c>
      <c r="G38" s="20">
        <v>1000</v>
      </c>
      <c r="H38" s="20">
        <v>1000</v>
      </c>
      <c r="I38" s="20">
        <v>6326.46</v>
      </c>
      <c r="J38" s="20">
        <f>I38</f>
        <v>6326.46</v>
      </c>
      <c r="K38" s="20">
        <f t="shared" si="2"/>
        <v>5326.46</v>
      </c>
      <c r="L38" s="20">
        <v>5000</v>
      </c>
      <c r="M38" s="12" t="s">
        <v>62</v>
      </c>
      <c r="O38" s="12"/>
    </row>
    <row r="39" spans="1:15" x14ac:dyDescent="0.2">
      <c r="A39" s="1"/>
      <c r="B39" s="6" t="s">
        <v>10</v>
      </c>
      <c r="C39" s="20">
        <v>1007.25</v>
      </c>
      <c r="D39" s="20">
        <v>0</v>
      </c>
      <c r="E39" s="20">
        <v>1178.55</v>
      </c>
      <c r="F39" s="20">
        <v>975</v>
      </c>
      <c r="G39" s="20">
        <v>500</v>
      </c>
      <c r="H39" s="20">
        <v>500</v>
      </c>
      <c r="I39" s="20">
        <v>0</v>
      </c>
      <c r="J39" s="20">
        <v>0</v>
      </c>
      <c r="K39" s="20">
        <f t="shared" si="2"/>
        <v>-500</v>
      </c>
      <c r="L39" s="20">
        <v>500</v>
      </c>
      <c r="M39" s="12" t="s">
        <v>61</v>
      </c>
    </row>
    <row r="40" spans="1:15" x14ac:dyDescent="0.2">
      <c r="A40" s="1"/>
      <c r="B40" s="6" t="s">
        <v>11</v>
      </c>
      <c r="C40" s="20">
        <v>210</v>
      </c>
      <c r="D40" s="20">
        <v>200</v>
      </c>
      <c r="E40" s="20">
        <v>255</v>
      </c>
      <c r="F40" s="20">
        <v>329.75</v>
      </c>
      <c r="G40" s="20">
        <v>250</v>
      </c>
      <c r="H40" s="20">
        <v>350</v>
      </c>
      <c r="I40" s="20">
        <v>351.6</v>
      </c>
      <c r="J40" s="20">
        <f>I40</f>
        <v>351.6</v>
      </c>
      <c r="K40" s="20">
        <f t="shared" si="2"/>
        <v>1.6000000000000227</v>
      </c>
      <c r="L40" s="20">
        <v>350</v>
      </c>
      <c r="M40" s="12" t="s">
        <v>61</v>
      </c>
    </row>
    <row r="41" spans="1:15" customFormat="1" x14ac:dyDescent="0.2">
      <c r="A41" s="1"/>
      <c r="B41" s="13" t="s">
        <v>22</v>
      </c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5"/>
      <c r="N41" s="15"/>
      <c r="O41" s="15"/>
    </row>
    <row r="42" spans="1:15" x14ac:dyDescent="0.2">
      <c r="A42" s="1"/>
      <c r="B42" s="6" t="s">
        <v>0</v>
      </c>
      <c r="C42" s="20">
        <v>3300</v>
      </c>
      <c r="D42" s="20">
        <v>3242</v>
      </c>
      <c r="E42" s="20">
        <v>3242</v>
      </c>
      <c r="F42" s="20">
        <v>3220</v>
      </c>
      <c r="G42" s="20">
        <v>3300</v>
      </c>
      <c r="H42" s="20">
        <v>3300</v>
      </c>
      <c r="I42" s="20">
        <v>3220</v>
      </c>
      <c r="J42" s="20">
        <f>I42</f>
        <v>3220</v>
      </c>
      <c r="K42" s="20">
        <f t="shared" si="2"/>
        <v>-80</v>
      </c>
      <c r="L42" s="20">
        <v>3500</v>
      </c>
      <c r="M42" s="12" t="s">
        <v>79</v>
      </c>
    </row>
    <row r="43" spans="1:15" x14ac:dyDescent="0.2">
      <c r="A43" s="1"/>
      <c r="B43" s="6" t="s">
        <v>83</v>
      </c>
      <c r="C43" s="20"/>
      <c r="D43" s="20"/>
      <c r="E43" s="20"/>
      <c r="F43" s="20"/>
      <c r="G43" s="20">
        <v>0</v>
      </c>
      <c r="H43" s="20">
        <v>0</v>
      </c>
      <c r="I43" s="20">
        <v>97.38</v>
      </c>
      <c r="J43" s="20">
        <v>125</v>
      </c>
      <c r="K43" s="20">
        <f t="shared" si="2"/>
        <v>125</v>
      </c>
      <c r="L43" s="20">
        <v>125</v>
      </c>
      <c r="M43" s="12"/>
    </row>
    <row r="44" spans="1:15" x14ac:dyDescent="0.2">
      <c r="A44" s="1"/>
      <c r="B44" s="6" t="s">
        <v>12</v>
      </c>
      <c r="C44" s="20">
        <f>60+9.8</f>
        <v>69.8</v>
      </c>
      <c r="D44" s="20">
        <f>73+29.27+10</f>
        <v>112.27</v>
      </c>
      <c r="E44" s="20">
        <f>310+22</f>
        <v>332</v>
      </c>
      <c r="F44" s="20">
        <f>121.26+10+30+215.88+18.15</f>
        <v>395.28999999999996</v>
      </c>
      <c r="G44" s="20">
        <v>350</v>
      </c>
      <c r="H44" s="20">
        <v>100</v>
      </c>
      <c r="I44" s="20">
        <f>10</f>
        <v>10</v>
      </c>
      <c r="J44" s="20">
        <f>I44</f>
        <v>10</v>
      </c>
      <c r="K44" s="20">
        <f t="shared" si="2"/>
        <v>-90</v>
      </c>
      <c r="L44" s="20">
        <v>10</v>
      </c>
      <c r="M44" s="12" t="s">
        <v>62</v>
      </c>
    </row>
    <row r="45" spans="1:15" customFormat="1" x14ac:dyDescent="0.2">
      <c r="A45" s="1"/>
      <c r="B45" s="13" t="s">
        <v>23</v>
      </c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5"/>
      <c r="N45" s="15"/>
      <c r="O45" s="15"/>
    </row>
    <row r="46" spans="1:15" x14ac:dyDescent="0.2">
      <c r="A46" s="1"/>
      <c r="B46" s="6" t="s">
        <v>3</v>
      </c>
      <c r="C46" s="20">
        <v>7020.08</v>
      </c>
      <c r="D46" s="20">
        <v>7038.18</v>
      </c>
      <c r="E46" s="20">
        <v>7040.18</v>
      </c>
      <c r="F46" s="20">
        <v>7946.09</v>
      </c>
      <c r="G46" s="20">
        <v>7040</v>
      </c>
      <c r="H46" s="20">
        <v>7040</v>
      </c>
      <c r="I46" s="20">
        <v>0</v>
      </c>
      <c r="J46" s="20">
        <v>7040</v>
      </c>
      <c r="K46" s="20">
        <f t="shared" si="2"/>
        <v>0</v>
      </c>
      <c r="L46" s="20">
        <v>7040</v>
      </c>
      <c r="M46" s="12" t="s">
        <v>61</v>
      </c>
    </row>
    <row r="47" spans="1:15" x14ac:dyDescent="0.2">
      <c r="A47" s="1"/>
      <c r="B47" s="6" t="s">
        <v>34</v>
      </c>
      <c r="C47" s="20">
        <v>0</v>
      </c>
      <c r="D47" s="20">
        <v>0</v>
      </c>
      <c r="E47" s="20">
        <v>0</v>
      </c>
      <c r="F47" s="20">
        <v>0</v>
      </c>
      <c r="G47" s="20">
        <v>100</v>
      </c>
      <c r="H47" s="20">
        <v>100</v>
      </c>
      <c r="I47" s="20">
        <v>0</v>
      </c>
      <c r="J47" s="20">
        <v>100</v>
      </c>
      <c r="K47" s="20">
        <f t="shared" si="2"/>
        <v>0</v>
      </c>
      <c r="L47" s="20">
        <v>100</v>
      </c>
      <c r="M47" s="12" t="s">
        <v>61</v>
      </c>
    </row>
    <row r="48" spans="1:15" x14ac:dyDescent="0.2">
      <c r="A48" s="1"/>
      <c r="B48" s="6" t="s">
        <v>35</v>
      </c>
      <c r="C48" s="20">
        <v>1267.54</v>
      </c>
      <c r="D48" s="20">
        <v>817.57</v>
      </c>
      <c r="E48" s="20">
        <v>0</v>
      </c>
      <c r="F48" s="20">
        <v>0</v>
      </c>
      <c r="G48" s="20">
        <v>2912</v>
      </c>
      <c r="H48" s="20">
        <v>3000</v>
      </c>
      <c r="I48" s="20">
        <v>2775.78</v>
      </c>
      <c r="J48" s="20">
        <v>3000</v>
      </c>
      <c r="K48" s="20">
        <f t="shared" si="2"/>
        <v>0</v>
      </c>
      <c r="L48" s="20">
        <v>3000</v>
      </c>
      <c r="M48" s="12" t="s">
        <v>61</v>
      </c>
    </row>
    <row r="49" spans="1:14" x14ac:dyDescent="0.2">
      <c r="A49" s="1"/>
      <c r="B49" s="6" t="s">
        <v>33</v>
      </c>
      <c r="C49" s="20">
        <f>1757.88+1585.79+441.48+838.22</f>
        <v>4623.37</v>
      </c>
      <c r="D49" s="20">
        <f>4498.53</f>
        <v>4498.53</v>
      </c>
      <c r="E49" s="20">
        <v>3245.94</v>
      </c>
      <c r="F49" s="20">
        <v>4163.4799999999996</v>
      </c>
      <c r="G49" s="20">
        <v>4350</v>
      </c>
      <c r="H49" s="20">
        <v>4000</v>
      </c>
      <c r="I49" s="20">
        <v>2780.09</v>
      </c>
      <c r="J49" s="20">
        <v>4000</v>
      </c>
      <c r="K49" s="20">
        <f t="shared" si="2"/>
        <v>0</v>
      </c>
      <c r="L49" s="20">
        <v>4000</v>
      </c>
      <c r="M49" s="12" t="s">
        <v>61</v>
      </c>
    </row>
    <row r="50" spans="1:14" x14ac:dyDescent="0.2">
      <c r="A50" s="1"/>
      <c r="B50" s="1" t="s">
        <v>24</v>
      </c>
      <c r="C50" s="19">
        <f>SUM(C35:C49)</f>
        <v>25333.24</v>
      </c>
      <c r="D50" s="19">
        <f t="shared" ref="D50:L50" si="3">SUM(D35:D49)</f>
        <v>41782.689999999995</v>
      </c>
      <c r="E50" s="19">
        <f t="shared" si="3"/>
        <v>24250.92</v>
      </c>
      <c r="F50" s="19">
        <f t="shared" si="3"/>
        <v>45932.33</v>
      </c>
      <c r="G50" s="19">
        <f t="shared" si="3"/>
        <v>39002</v>
      </c>
      <c r="H50" s="19">
        <f t="shared" si="3"/>
        <v>40324</v>
      </c>
      <c r="I50" s="19">
        <f t="shared" si="3"/>
        <v>30080.059999999998</v>
      </c>
      <c r="J50" s="19">
        <f t="shared" si="3"/>
        <v>43204.56</v>
      </c>
      <c r="K50" s="19">
        <f t="shared" si="3"/>
        <v>2880.56</v>
      </c>
      <c r="L50" s="19">
        <f t="shared" si="3"/>
        <v>44917.020000000004</v>
      </c>
    </row>
    <row r="51" spans="1:14" ht="8" customHeight="1" thickBo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4" ht="17" thickBot="1" x14ac:dyDescent="0.25">
      <c r="A52" s="1"/>
      <c r="B52" s="1" t="s">
        <v>25</v>
      </c>
      <c r="C52" s="9">
        <f>C32-C50</f>
        <v>34025.380000000005</v>
      </c>
      <c r="D52" s="9">
        <f t="shared" ref="D52:L52" si="4">D32-D50</f>
        <v>22075.760000000002</v>
      </c>
      <c r="E52" s="9">
        <f t="shared" si="4"/>
        <v>38061.81</v>
      </c>
      <c r="F52" s="9">
        <f t="shared" si="4"/>
        <v>735.69000000000233</v>
      </c>
      <c r="G52" s="9">
        <f t="shared" si="4"/>
        <v>13831</v>
      </c>
      <c r="H52" s="9">
        <f t="shared" si="4"/>
        <v>1484</v>
      </c>
      <c r="I52" s="9">
        <f t="shared" si="4"/>
        <v>-682.63999999999942</v>
      </c>
      <c r="J52" s="9">
        <f t="shared" si="4"/>
        <v>371.24000000000524</v>
      </c>
      <c r="K52" s="9">
        <f t="shared" si="4"/>
        <v>-1112.7599999999998</v>
      </c>
      <c r="L52" s="9">
        <f t="shared" si="4"/>
        <v>16366.979999999996</v>
      </c>
      <c r="N52" s="8"/>
    </row>
    <row r="53" spans="1:14" x14ac:dyDescent="0.2">
      <c r="A53" s="1"/>
      <c r="B53" s="10"/>
    </row>
    <row r="54" spans="1:14" x14ac:dyDescent="0.2">
      <c r="A54" s="1"/>
      <c r="B54" s="10" t="s">
        <v>26</v>
      </c>
      <c r="C54" s="20">
        <v>0</v>
      </c>
      <c r="D54" s="20">
        <v>0</v>
      </c>
      <c r="E54" s="20">
        <v>0</v>
      </c>
      <c r="F54" s="20">
        <f>-10815</f>
        <v>-10815</v>
      </c>
      <c r="G54" s="20">
        <f>-G52</f>
        <v>-13831</v>
      </c>
      <c r="H54" s="20">
        <f>-1484</f>
        <v>-1484</v>
      </c>
      <c r="I54" s="20">
        <v>0</v>
      </c>
      <c r="J54" s="20">
        <f>-J52</f>
        <v>-371.24000000000524</v>
      </c>
      <c r="K54" s="20">
        <f t="shared" ref="K54" si="5">J54-H54</f>
        <v>1112.7599999999948</v>
      </c>
      <c r="L54" s="20">
        <f>-L52</f>
        <v>-16366.979999999996</v>
      </c>
    </row>
    <row r="55" spans="1:14" x14ac:dyDescent="0.2">
      <c r="A55" s="1"/>
      <c r="B55" s="10"/>
    </row>
    <row r="56" spans="1:14" x14ac:dyDescent="0.2">
      <c r="A56" s="1"/>
      <c r="B56" s="1" t="s">
        <v>19</v>
      </c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4" x14ac:dyDescent="0.2">
      <c r="A57" s="1"/>
      <c r="B57" s="10" t="s">
        <v>26</v>
      </c>
      <c r="C57" s="20">
        <v>0</v>
      </c>
      <c r="D57" s="20">
        <v>0</v>
      </c>
      <c r="E57" s="20">
        <v>0</v>
      </c>
      <c r="F57" s="20">
        <f>-F54</f>
        <v>10815</v>
      </c>
      <c r="G57" s="20">
        <f>-G54</f>
        <v>13831</v>
      </c>
      <c r="H57" s="20">
        <f>-H54</f>
        <v>1484</v>
      </c>
      <c r="I57" s="20">
        <f>-I54</f>
        <v>0</v>
      </c>
      <c r="J57" s="20">
        <f>-J54</f>
        <v>371.24000000000524</v>
      </c>
      <c r="K57" s="20">
        <f t="shared" ref="K57:K59" si="6">J57-H57</f>
        <v>-1112.7599999999948</v>
      </c>
      <c r="L57" s="20">
        <f>-L54</f>
        <v>16366.979999999996</v>
      </c>
    </row>
    <row r="58" spans="1:14" x14ac:dyDescent="0.2">
      <c r="A58" s="1"/>
      <c r="B58" s="10" t="s">
        <v>6</v>
      </c>
      <c r="C58" s="20">
        <v>10000</v>
      </c>
      <c r="D58" s="20">
        <v>0</v>
      </c>
      <c r="E58" s="20">
        <v>10000</v>
      </c>
      <c r="F58" s="20">
        <v>0</v>
      </c>
      <c r="G58" s="20">
        <v>10000</v>
      </c>
      <c r="H58" s="20">
        <v>0</v>
      </c>
      <c r="I58" s="20">
        <v>0</v>
      </c>
      <c r="J58" s="20">
        <v>0</v>
      </c>
      <c r="K58" s="20">
        <f t="shared" si="6"/>
        <v>0</v>
      </c>
      <c r="L58" s="32">
        <f>10000+10000</f>
        <v>20000</v>
      </c>
      <c r="M58" s="12" t="s">
        <v>82</v>
      </c>
    </row>
    <row r="59" spans="1:14" x14ac:dyDescent="0.2">
      <c r="B59" s="10" t="s">
        <v>38</v>
      </c>
      <c r="C59" s="20">
        <v>0</v>
      </c>
      <c r="D59" s="20">
        <v>0</v>
      </c>
      <c r="E59" s="20">
        <v>0</v>
      </c>
      <c r="F59" s="20">
        <v>141.85</v>
      </c>
      <c r="G59" s="20">
        <v>325</v>
      </c>
      <c r="H59" s="20">
        <v>0</v>
      </c>
      <c r="I59" s="20">
        <v>273.47000000000003</v>
      </c>
      <c r="J59" s="20">
        <v>300</v>
      </c>
      <c r="K59" s="20">
        <f t="shared" si="6"/>
        <v>300</v>
      </c>
      <c r="L59" s="20">
        <v>0</v>
      </c>
    </row>
    <row r="60" spans="1:14" x14ac:dyDescent="0.2">
      <c r="A60" s="1"/>
      <c r="B60" s="1" t="s">
        <v>28</v>
      </c>
      <c r="C60" s="18">
        <v>0</v>
      </c>
      <c r="D60" s="18">
        <f t="shared" ref="D60:L60" si="7">SUM(D57:D59)</f>
        <v>0</v>
      </c>
      <c r="E60" s="18">
        <f t="shared" si="7"/>
        <v>10000</v>
      </c>
      <c r="F60" s="19">
        <f t="shared" si="7"/>
        <v>10956.85</v>
      </c>
      <c r="G60" s="19">
        <f t="shared" si="7"/>
        <v>24156</v>
      </c>
      <c r="H60" s="19">
        <f t="shared" si="7"/>
        <v>1484</v>
      </c>
      <c r="I60" s="19">
        <f t="shared" si="7"/>
        <v>273.47000000000003</v>
      </c>
      <c r="J60" s="19">
        <f t="shared" si="7"/>
        <v>671.24000000000524</v>
      </c>
      <c r="K60" s="19">
        <f t="shared" si="7"/>
        <v>-812.75999999999476</v>
      </c>
      <c r="L60" s="19">
        <f t="shared" si="7"/>
        <v>36366.979999999996</v>
      </c>
    </row>
    <row r="61" spans="1:14" ht="8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14" x14ac:dyDescent="0.2">
      <c r="A62" s="1"/>
      <c r="B62" s="1" t="s">
        <v>29</v>
      </c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4" x14ac:dyDescent="0.2">
      <c r="A63" s="1"/>
      <c r="B63" s="10" t="s">
        <v>8</v>
      </c>
      <c r="C63" s="20">
        <f>2362.83</f>
        <v>2362.83</v>
      </c>
      <c r="D63" s="20">
        <v>19630.52</v>
      </c>
      <c r="E63" s="20">
        <v>0</v>
      </c>
      <c r="F63" s="20">
        <v>782.5</v>
      </c>
      <c r="G63" s="20">
        <v>20000</v>
      </c>
      <c r="H63" s="20">
        <v>24000</v>
      </c>
      <c r="I63" s="20">
        <v>1356.2</v>
      </c>
      <c r="J63" s="20">
        <f>I63</f>
        <v>1356.2</v>
      </c>
      <c r="K63" s="20">
        <f t="shared" ref="K63" si="8">J63-H63</f>
        <v>-22643.8</v>
      </c>
      <c r="L63" s="20">
        <v>25000</v>
      </c>
      <c r="M63" s="17" t="s">
        <v>63</v>
      </c>
      <c r="N63" s="8"/>
    </row>
    <row r="64" spans="1:14" x14ac:dyDescent="0.2">
      <c r="A64" s="1"/>
      <c r="B64" s="1" t="s">
        <v>30</v>
      </c>
      <c r="C64" s="19">
        <f>SUM(C63)</f>
        <v>2362.83</v>
      </c>
      <c r="D64" s="19">
        <f t="shared" ref="D64:L64" si="9">SUM(D63)</f>
        <v>19630.52</v>
      </c>
      <c r="E64" s="19">
        <f t="shared" si="9"/>
        <v>0</v>
      </c>
      <c r="F64" s="19">
        <f t="shared" si="9"/>
        <v>782.5</v>
      </c>
      <c r="G64" s="19">
        <f t="shared" si="9"/>
        <v>20000</v>
      </c>
      <c r="H64" s="19">
        <f t="shared" si="9"/>
        <v>24000</v>
      </c>
      <c r="I64" s="19">
        <f t="shared" si="9"/>
        <v>1356.2</v>
      </c>
      <c r="J64" s="19">
        <f t="shared" si="9"/>
        <v>1356.2</v>
      </c>
      <c r="K64" s="19">
        <f t="shared" si="9"/>
        <v>-22643.8</v>
      </c>
      <c r="L64" s="19">
        <f t="shared" si="9"/>
        <v>25000</v>
      </c>
    </row>
    <row r="65" spans="1:14" ht="8" customHeight="1" thickBo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4" ht="17" thickBot="1" x14ac:dyDescent="0.25">
      <c r="A66" s="1"/>
      <c r="B66" s="1" t="s">
        <v>31</v>
      </c>
      <c r="C66" s="9">
        <f>C60-C64</f>
        <v>-2362.83</v>
      </c>
      <c r="D66" s="9">
        <f t="shared" ref="D66:L66" si="10">D60-D64</f>
        <v>-19630.52</v>
      </c>
      <c r="E66" s="9">
        <f t="shared" si="10"/>
        <v>10000</v>
      </c>
      <c r="F66" s="9">
        <f t="shared" si="10"/>
        <v>10174.35</v>
      </c>
      <c r="G66" s="9">
        <f t="shared" si="10"/>
        <v>4156</v>
      </c>
      <c r="H66" s="9">
        <f t="shared" si="10"/>
        <v>-22516</v>
      </c>
      <c r="I66" s="9">
        <f t="shared" si="10"/>
        <v>-1082.73</v>
      </c>
      <c r="J66" s="9">
        <f t="shared" si="10"/>
        <v>-684.95999999999481</v>
      </c>
      <c r="K66" s="9">
        <f t="shared" si="10"/>
        <v>21831.040000000005</v>
      </c>
      <c r="L66" s="9">
        <f t="shared" si="10"/>
        <v>11366.979999999996</v>
      </c>
      <c r="N66" s="8"/>
    </row>
    <row r="67" spans="1:14" ht="17" thickBot="1" x14ac:dyDescent="0.25"/>
    <row r="68" spans="1:14" ht="17" thickBot="1" x14ac:dyDescent="0.25">
      <c r="A68" s="1"/>
      <c r="B68" s="1" t="s">
        <v>32</v>
      </c>
      <c r="C68" s="9">
        <f>C52+C54+C66</f>
        <v>31662.550000000003</v>
      </c>
      <c r="D68" s="9">
        <f t="shared" ref="D68:L68" si="11">D52+D54+D66</f>
        <v>2445.2400000000016</v>
      </c>
      <c r="E68" s="9">
        <f t="shared" si="11"/>
        <v>48061.81</v>
      </c>
      <c r="F68" s="9">
        <f t="shared" si="11"/>
        <v>95.040000000002692</v>
      </c>
      <c r="G68" s="9">
        <f t="shared" si="11"/>
        <v>4156</v>
      </c>
      <c r="H68" s="9">
        <f t="shared" si="11"/>
        <v>-22516</v>
      </c>
      <c r="I68" s="9">
        <f t="shared" si="11"/>
        <v>-1765.3699999999994</v>
      </c>
      <c r="J68" s="9">
        <f t="shared" si="11"/>
        <v>-684.95999999999481</v>
      </c>
      <c r="K68" s="9">
        <f t="shared" si="11"/>
        <v>21831.040000000001</v>
      </c>
      <c r="L68" s="9">
        <f t="shared" si="11"/>
        <v>11366.979999999996</v>
      </c>
      <c r="N68" s="8"/>
    </row>
  </sheetData>
  <phoneticPr fontId="5" type="noConversion"/>
  <pageMargins left="0.7" right="0.7" top="0.75" bottom="0.75" header="0.3" footer="0.3"/>
  <pageSetup scale="85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DE07C3-4E22-2B48-9DF2-C0D7DA36C996}">
  <sheetPr>
    <pageSetUpPr fitToPage="1"/>
  </sheetPr>
  <dimension ref="A1:K53"/>
  <sheetViews>
    <sheetView showGridLines="0" zoomScale="112" zoomScaleNormal="112" workbookViewId="0">
      <pane xSplit="2" ySplit="5" topLeftCell="C6" activePane="bottomRight" state="frozen"/>
      <selection pane="topRight" activeCell="D1" sqref="D1"/>
      <selection pane="bottomLeft" activeCell="A6" sqref="A6"/>
      <selection pane="bottomRight" activeCell="I54" sqref="I54"/>
    </sheetView>
  </sheetViews>
  <sheetFormatPr baseColWidth="10" defaultColWidth="10.6640625" defaultRowHeight="16" x14ac:dyDescent="0.2"/>
  <cols>
    <col min="1" max="1" width="3" style="3" customWidth="1"/>
    <col min="2" max="2" width="50.83203125" style="3" customWidth="1"/>
    <col min="3" max="8" width="12.83203125" style="3" customWidth="1"/>
    <col min="9" max="9" width="58.33203125" style="4" customWidth="1"/>
    <col min="10" max="16384" width="10.6640625" style="4"/>
  </cols>
  <sheetData>
    <row r="1" spans="1:11" x14ac:dyDescent="0.2">
      <c r="A1" s="11" t="s">
        <v>40</v>
      </c>
      <c r="B1" s="11"/>
      <c r="C1" s="11"/>
      <c r="D1" s="11"/>
      <c r="E1" s="11"/>
      <c r="F1" s="11"/>
      <c r="G1" s="11"/>
      <c r="H1" s="11"/>
    </row>
    <row r="2" spans="1:11" x14ac:dyDescent="0.2">
      <c r="A2" s="1"/>
      <c r="B2" s="1"/>
      <c r="C2" s="1"/>
      <c r="D2" s="1"/>
      <c r="E2" s="1"/>
      <c r="F2" s="1"/>
      <c r="G2" s="1"/>
      <c r="H2" s="1"/>
    </row>
    <row r="3" spans="1:11" x14ac:dyDescent="0.2">
      <c r="A3" s="1"/>
      <c r="B3" s="1"/>
      <c r="C3" s="1"/>
      <c r="D3" s="1"/>
      <c r="E3" s="1"/>
      <c r="F3" s="1"/>
      <c r="G3" s="1"/>
      <c r="H3" s="1"/>
    </row>
    <row r="4" spans="1:11" ht="52" thickBot="1" x14ac:dyDescent="0.25">
      <c r="A4" s="2"/>
      <c r="B4" s="2"/>
      <c r="C4" s="5" t="s">
        <v>54</v>
      </c>
      <c r="D4" s="5" t="s">
        <v>55</v>
      </c>
      <c r="E4" s="5" t="s">
        <v>56</v>
      </c>
      <c r="F4" s="5" t="s">
        <v>57</v>
      </c>
      <c r="G4" s="5" t="s">
        <v>58</v>
      </c>
      <c r="H4" s="5" t="s">
        <v>46</v>
      </c>
      <c r="I4" s="5" t="s">
        <v>39</v>
      </c>
    </row>
    <row r="5" spans="1:11" x14ac:dyDescent="0.2">
      <c r="A5" s="1"/>
      <c r="B5" s="1" t="s">
        <v>16</v>
      </c>
      <c r="C5" s="1"/>
      <c r="D5" s="1"/>
      <c r="E5" s="1"/>
      <c r="F5" s="1"/>
      <c r="G5" s="1"/>
      <c r="H5" s="1"/>
    </row>
    <row r="6" spans="1:11" customFormat="1" x14ac:dyDescent="0.2">
      <c r="A6" s="1"/>
      <c r="B6" s="13" t="s">
        <v>17</v>
      </c>
      <c r="C6" s="14"/>
      <c r="D6" s="14"/>
      <c r="E6" s="14"/>
      <c r="F6" s="14"/>
      <c r="G6" s="14"/>
      <c r="H6" s="14"/>
      <c r="I6" s="15"/>
      <c r="J6" s="15"/>
      <c r="K6" s="15"/>
    </row>
    <row r="7" spans="1:11" x14ac:dyDescent="0.2">
      <c r="A7" s="1"/>
      <c r="B7" s="16" t="s">
        <v>15</v>
      </c>
      <c r="C7" s="21">
        <f>$H$7/4</f>
        <v>4887.5</v>
      </c>
      <c r="D7" s="21">
        <f t="shared" ref="D7:F7" si="0">$H$7/4</f>
        <v>4887.5</v>
      </c>
      <c r="E7" s="21">
        <f t="shared" si="0"/>
        <v>4887.5</v>
      </c>
      <c r="F7" s="21">
        <f t="shared" si="0"/>
        <v>4887.5</v>
      </c>
      <c r="G7" s="21">
        <f>SUM(C7:F7)</f>
        <v>19550</v>
      </c>
      <c r="H7" s="7">
        <v>19550</v>
      </c>
      <c r="I7" s="12" t="s">
        <v>47</v>
      </c>
    </row>
    <row r="8" spans="1:11" x14ac:dyDescent="0.2">
      <c r="A8" s="1"/>
      <c r="B8" s="16" t="s">
        <v>2</v>
      </c>
      <c r="C8" s="21">
        <f>$H$8/4</f>
        <v>2703.75</v>
      </c>
      <c r="D8" s="21">
        <f t="shared" ref="D8:F8" si="1">$H$8/4</f>
        <v>2703.75</v>
      </c>
      <c r="E8" s="21">
        <f t="shared" si="1"/>
        <v>2703.75</v>
      </c>
      <c r="F8" s="21">
        <f t="shared" si="1"/>
        <v>2703.75</v>
      </c>
      <c r="G8" s="21">
        <f>SUM(C8:F8)</f>
        <v>10815</v>
      </c>
      <c r="H8" s="20">
        <v>10815</v>
      </c>
      <c r="I8" s="12" t="s">
        <v>47</v>
      </c>
    </row>
    <row r="9" spans="1:11" x14ac:dyDescent="0.2">
      <c r="A9" s="1"/>
      <c r="B9" s="16" t="s">
        <v>4</v>
      </c>
      <c r="C9" s="21">
        <f>$H$9/4</f>
        <v>102</v>
      </c>
      <c r="D9" s="21">
        <f t="shared" ref="D9:F9" si="2">$H$9/4</f>
        <v>102</v>
      </c>
      <c r="E9" s="21">
        <f t="shared" si="2"/>
        <v>102</v>
      </c>
      <c r="F9" s="21">
        <f t="shared" si="2"/>
        <v>102</v>
      </c>
      <c r="G9" s="21">
        <f>SUM(C9:F9)</f>
        <v>408</v>
      </c>
      <c r="H9" s="20">
        <v>408</v>
      </c>
      <c r="I9" s="12" t="s">
        <v>47</v>
      </c>
    </row>
    <row r="10" spans="1:11" x14ac:dyDescent="0.2">
      <c r="A10" s="1"/>
      <c r="B10" s="16" t="s">
        <v>3</v>
      </c>
      <c r="C10" s="21">
        <f>$H$10/4</f>
        <v>1758.75</v>
      </c>
      <c r="D10" s="21">
        <f t="shared" ref="D10:F10" si="3">$H$10/4</f>
        <v>1758.75</v>
      </c>
      <c r="E10" s="21">
        <f t="shared" si="3"/>
        <v>1758.75</v>
      </c>
      <c r="F10" s="21">
        <f t="shared" si="3"/>
        <v>1758.75</v>
      </c>
      <c r="G10" s="21">
        <f>SUM(C10:F10)</f>
        <v>7035</v>
      </c>
      <c r="H10" s="20">
        <v>7035</v>
      </c>
      <c r="I10" s="12" t="s">
        <v>47</v>
      </c>
    </row>
    <row r="11" spans="1:11" x14ac:dyDescent="0.2">
      <c r="A11" s="1"/>
      <c r="B11" s="16" t="s">
        <v>5</v>
      </c>
      <c r="C11" s="21">
        <f>$H$11/4</f>
        <v>1000</v>
      </c>
      <c r="D11" s="21">
        <f t="shared" ref="D11:F11" si="4">$H$11/4</f>
        <v>1000</v>
      </c>
      <c r="E11" s="21">
        <f t="shared" si="4"/>
        <v>1000</v>
      </c>
      <c r="F11" s="21">
        <f t="shared" si="4"/>
        <v>1000</v>
      </c>
      <c r="G11" s="21">
        <f>SUM(C11:F11)</f>
        <v>4000</v>
      </c>
      <c r="H11" s="20">
        <v>4000</v>
      </c>
      <c r="I11" s="12" t="s">
        <v>52</v>
      </c>
    </row>
    <row r="12" spans="1:11" customFormat="1" x14ac:dyDescent="0.2">
      <c r="A12" s="1"/>
      <c r="B12" s="13" t="s">
        <v>18</v>
      </c>
      <c r="C12" s="14"/>
      <c r="D12" s="14"/>
      <c r="E12" s="14"/>
      <c r="F12" s="14"/>
      <c r="G12" s="14"/>
      <c r="H12" s="14"/>
      <c r="I12" s="15"/>
      <c r="J12" s="15"/>
      <c r="K12" s="15"/>
    </row>
    <row r="13" spans="1:11" x14ac:dyDescent="0.2">
      <c r="A13" s="1"/>
      <c r="B13" s="16" t="s">
        <v>6</v>
      </c>
      <c r="C13" s="20">
        <v>0</v>
      </c>
      <c r="D13" s="20">
        <v>0</v>
      </c>
      <c r="E13" s="20">
        <v>0</v>
      </c>
      <c r="F13" s="20">
        <v>0</v>
      </c>
      <c r="G13" s="21">
        <f>SUM(C13:F13)</f>
        <v>0</v>
      </c>
      <c r="H13" s="20">
        <v>0</v>
      </c>
      <c r="I13" s="12" t="s">
        <v>51</v>
      </c>
    </row>
    <row r="14" spans="1:11" x14ac:dyDescent="0.2">
      <c r="A14" s="1"/>
      <c r="B14" s="16" t="s">
        <v>1</v>
      </c>
      <c r="C14" s="20">
        <v>0</v>
      </c>
      <c r="D14" s="20">
        <v>0</v>
      </c>
      <c r="E14" s="20">
        <v>0</v>
      </c>
      <c r="F14" s="20">
        <v>0</v>
      </c>
      <c r="G14" s="21">
        <f t="shared" ref="G14:G17" si="5">SUM(C14:F14)</f>
        <v>0</v>
      </c>
      <c r="H14" s="20">
        <v>0</v>
      </c>
      <c r="I14" s="12" t="s">
        <v>48</v>
      </c>
    </row>
    <row r="15" spans="1:11" x14ac:dyDescent="0.2">
      <c r="A15" s="1"/>
      <c r="B15" s="16" t="s">
        <v>7</v>
      </c>
      <c r="C15" s="20">
        <v>0</v>
      </c>
      <c r="D15" s="20">
        <v>0</v>
      </c>
      <c r="E15" s="20">
        <v>0</v>
      </c>
      <c r="F15" s="20">
        <v>0</v>
      </c>
      <c r="G15" s="21">
        <f t="shared" si="5"/>
        <v>0</v>
      </c>
      <c r="H15" s="20">
        <v>0</v>
      </c>
      <c r="I15" s="12" t="s">
        <v>48</v>
      </c>
      <c r="J15" s="7"/>
    </row>
    <row r="16" spans="1:11" x14ac:dyDescent="0.2">
      <c r="A16" s="1"/>
      <c r="B16" s="16" t="s">
        <v>14</v>
      </c>
      <c r="C16" s="20">
        <v>0</v>
      </c>
      <c r="D16" s="20">
        <v>0</v>
      </c>
      <c r="E16" s="20">
        <v>0</v>
      </c>
      <c r="F16" s="20">
        <v>0</v>
      </c>
      <c r="G16" s="21">
        <f t="shared" si="5"/>
        <v>0</v>
      </c>
      <c r="H16" s="20">
        <v>0</v>
      </c>
      <c r="I16" s="12" t="s">
        <v>48</v>
      </c>
      <c r="J16" s="8"/>
    </row>
    <row r="17" spans="1:11" x14ac:dyDescent="0.2">
      <c r="A17" s="1"/>
      <c r="B17" s="16" t="s">
        <v>13</v>
      </c>
      <c r="C17" s="20">
        <v>0</v>
      </c>
      <c r="D17" s="20">
        <v>0</v>
      </c>
      <c r="E17" s="20">
        <v>0</v>
      </c>
      <c r="F17" s="20">
        <v>0</v>
      </c>
      <c r="G17" s="21">
        <f t="shared" si="5"/>
        <v>0</v>
      </c>
      <c r="H17" s="20">
        <v>0</v>
      </c>
      <c r="I17" s="12" t="s">
        <v>48</v>
      </c>
      <c r="J17" s="8"/>
    </row>
    <row r="18" spans="1:11" ht="8" customHeight="1" x14ac:dyDescent="0.2">
      <c r="A18" s="1"/>
      <c r="B18" s="6"/>
      <c r="J18" s="8"/>
    </row>
    <row r="19" spans="1:11" x14ac:dyDescent="0.2">
      <c r="A19" s="1"/>
      <c r="B19" s="1" t="s">
        <v>27</v>
      </c>
      <c r="C19" s="19">
        <f t="shared" ref="C19:E19" si="6">SUM(C7:C17)</f>
        <v>10452</v>
      </c>
      <c r="D19" s="19">
        <f t="shared" si="6"/>
        <v>10452</v>
      </c>
      <c r="E19" s="19">
        <f t="shared" si="6"/>
        <v>10452</v>
      </c>
      <c r="F19" s="19">
        <f t="shared" ref="F19:H19" si="7">SUM(F7:F17)</f>
        <v>10452</v>
      </c>
      <c r="G19" s="19">
        <f t="shared" si="7"/>
        <v>41808</v>
      </c>
      <c r="H19" s="19">
        <f t="shared" si="7"/>
        <v>41808</v>
      </c>
    </row>
    <row r="20" spans="1:11" x14ac:dyDescent="0.2">
      <c r="A20" s="1"/>
      <c r="B20" s="1"/>
      <c r="J20" s="8"/>
    </row>
    <row r="21" spans="1:11" x14ac:dyDescent="0.2">
      <c r="A21" s="1"/>
      <c r="B21" s="1" t="s">
        <v>20</v>
      </c>
      <c r="C21" s="1"/>
      <c r="D21" s="1"/>
      <c r="E21" s="1"/>
      <c r="F21" s="1"/>
      <c r="G21" s="1"/>
      <c r="H21" s="1"/>
      <c r="J21" s="8"/>
    </row>
    <row r="22" spans="1:11" customFormat="1" x14ac:dyDescent="0.2">
      <c r="A22" s="1"/>
      <c r="B22" s="13" t="s">
        <v>21</v>
      </c>
      <c r="C22" s="14"/>
      <c r="D22" s="14"/>
      <c r="E22" s="14"/>
      <c r="F22" s="14"/>
      <c r="G22" s="14"/>
      <c r="H22" s="14"/>
      <c r="I22" s="15"/>
      <c r="J22" s="15"/>
      <c r="K22" s="15"/>
    </row>
    <row r="23" spans="1:11" x14ac:dyDescent="0.2">
      <c r="A23" s="1"/>
      <c r="B23" s="6" t="s">
        <v>37</v>
      </c>
      <c r="C23" s="22">
        <f>$H$23/4</f>
        <v>2250</v>
      </c>
      <c r="D23" s="22">
        <f t="shared" ref="D23:F23" si="8">$H$23/4</f>
        <v>2250</v>
      </c>
      <c r="E23" s="22">
        <f t="shared" si="8"/>
        <v>2250</v>
      </c>
      <c r="F23" s="22">
        <f t="shared" si="8"/>
        <v>2250</v>
      </c>
      <c r="G23" s="21">
        <f t="shared" ref="G23:G35" si="9">SUM(C23:F23)</f>
        <v>9000</v>
      </c>
      <c r="H23" s="20">
        <v>9000</v>
      </c>
      <c r="I23" s="12" t="s">
        <v>47</v>
      </c>
      <c r="J23" s="8"/>
    </row>
    <row r="24" spans="1:11" x14ac:dyDescent="0.2">
      <c r="A24" s="1"/>
      <c r="B24" s="6" t="s">
        <v>36</v>
      </c>
      <c r="C24" s="22">
        <f>$H$24/4</f>
        <v>2983.5</v>
      </c>
      <c r="D24" s="22">
        <f t="shared" ref="D24:F24" si="10">$H$24/4</f>
        <v>2983.5</v>
      </c>
      <c r="E24" s="22">
        <f t="shared" si="10"/>
        <v>2983.5</v>
      </c>
      <c r="F24" s="22">
        <f t="shared" si="10"/>
        <v>2983.5</v>
      </c>
      <c r="G24" s="21">
        <f t="shared" si="9"/>
        <v>11934</v>
      </c>
      <c r="H24" s="20">
        <f>(975*4)+(1.03*975*8)</f>
        <v>11934</v>
      </c>
      <c r="I24" s="12" t="s">
        <v>49</v>
      </c>
      <c r="J24" s="8"/>
    </row>
    <row r="25" spans="1:11" x14ac:dyDescent="0.2">
      <c r="A25" s="1"/>
      <c r="B25" s="6" t="s">
        <v>9</v>
      </c>
      <c r="C25" s="22">
        <f>$H$25/4</f>
        <v>250</v>
      </c>
      <c r="D25" s="22">
        <f t="shared" ref="D25:F25" si="11">$H$25/4</f>
        <v>250</v>
      </c>
      <c r="E25" s="22">
        <f t="shared" si="11"/>
        <v>250</v>
      </c>
      <c r="F25" s="22">
        <f t="shared" si="11"/>
        <v>250</v>
      </c>
      <c r="G25" s="21">
        <f t="shared" si="9"/>
        <v>1000</v>
      </c>
      <c r="H25" s="20">
        <v>1000</v>
      </c>
      <c r="I25" s="12" t="s">
        <v>47</v>
      </c>
      <c r="K25" s="12"/>
    </row>
    <row r="26" spans="1:11" x14ac:dyDescent="0.2">
      <c r="A26" s="1"/>
      <c r="B26" s="6" t="s">
        <v>10</v>
      </c>
      <c r="C26" s="22">
        <f>$H$26/4</f>
        <v>125</v>
      </c>
      <c r="D26" s="22">
        <f t="shared" ref="D26:F26" si="12">$H$26/4</f>
        <v>125</v>
      </c>
      <c r="E26" s="22">
        <f t="shared" si="12"/>
        <v>125</v>
      </c>
      <c r="F26" s="22">
        <f t="shared" si="12"/>
        <v>125</v>
      </c>
      <c r="G26" s="21">
        <f t="shared" si="9"/>
        <v>500</v>
      </c>
      <c r="H26" s="20">
        <v>500</v>
      </c>
      <c r="I26" s="12" t="s">
        <v>47</v>
      </c>
    </row>
    <row r="27" spans="1:11" x14ac:dyDescent="0.2">
      <c r="A27" s="1"/>
      <c r="B27" s="6" t="s">
        <v>11</v>
      </c>
      <c r="C27" s="22">
        <v>350</v>
      </c>
      <c r="D27" s="22">
        <v>0</v>
      </c>
      <c r="E27" s="22">
        <v>0</v>
      </c>
      <c r="F27" s="22">
        <v>0</v>
      </c>
      <c r="G27" s="21">
        <f t="shared" si="9"/>
        <v>350</v>
      </c>
      <c r="H27" s="20">
        <v>350</v>
      </c>
      <c r="I27" s="12" t="s">
        <v>47</v>
      </c>
    </row>
    <row r="28" spans="1:11" customFormat="1" x14ac:dyDescent="0.2">
      <c r="A28" s="1"/>
      <c r="B28" s="13" t="s">
        <v>22</v>
      </c>
      <c r="C28" s="14"/>
      <c r="D28" s="14"/>
      <c r="E28" s="14"/>
      <c r="F28" s="14"/>
      <c r="G28" s="14"/>
      <c r="H28" s="14"/>
      <c r="I28" s="15"/>
      <c r="J28" s="15"/>
      <c r="K28" s="15"/>
    </row>
    <row r="29" spans="1:11" x14ac:dyDescent="0.2">
      <c r="A29" s="1"/>
      <c r="B29" s="6" t="s">
        <v>0</v>
      </c>
      <c r="C29" s="22">
        <v>3300</v>
      </c>
      <c r="D29" s="22">
        <v>0</v>
      </c>
      <c r="E29" s="22">
        <v>0</v>
      </c>
      <c r="F29" s="22">
        <v>0</v>
      </c>
      <c r="G29" s="21">
        <f t="shared" si="9"/>
        <v>3300</v>
      </c>
      <c r="H29" s="20">
        <v>3300</v>
      </c>
      <c r="I29" s="12" t="s">
        <v>47</v>
      </c>
    </row>
    <row r="30" spans="1:11" x14ac:dyDescent="0.2">
      <c r="A30" s="1"/>
      <c r="B30" s="6" t="s">
        <v>12</v>
      </c>
      <c r="C30" s="22">
        <v>25</v>
      </c>
      <c r="D30" s="22">
        <v>25</v>
      </c>
      <c r="E30" s="22">
        <v>25</v>
      </c>
      <c r="F30" s="22">
        <v>25</v>
      </c>
      <c r="G30" s="21">
        <f t="shared" si="9"/>
        <v>100</v>
      </c>
      <c r="H30" s="20">
        <v>100</v>
      </c>
      <c r="I30" s="12" t="s">
        <v>50</v>
      </c>
    </row>
    <row r="31" spans="1:11" customFormat="1" x14ac:dyDescent="0.2">
      <c r="A31" s="1"/>
      <c r="B31" s="13" t="s">
        <v>23</v>
      </c>
      <c r="C31" s="14"/>
      <c r="D31" s="14"/>
      <c r="E31" s="14"/>
      <c r="F31" s="14"/>
      <c r="G31" s="14"/>
      <c r="H31" s="14"/>
      <c r="I31" s="15"/>
      <c r="J31" s="15"/>
      <c r="K31" s="15"/>
    </row>
    <row r="32" spans="1:11" x14ac:dyDescent="0.2">
      <c r="A32" s="1"/>
      <c r="B32" s="6" t="s">
        <v>3</v>
      </c>
      <c r="C32" s="22">
        <f>$H$32/4</f>
        <v>1760</v>
      </c>
      <c r="D32" s="22">
        <f t="shared" ref="D32:F32" si="13">$H$32/4</f>
        <v>1760</v>
      </c>
      <c r="E32" s="22">
        <f t="shared" si="13"/>
        <v>1760</v>
      </c>
      <c r="F32" s="22">
        <f t="shared" si="13"/>
        <v>1760</v>
      </c>
      <c r="G32" s="21">
        <f t="shared" si="9"/>
        <v>7040</v>
      </c>
      <c r="H32" s="20">
        <v>7040</v>
      </c>
      <c r="I32" s="12" t="s">
        <v>47</v>
      </c>
    </row>
    <row r="33" spans="1:10" x14ac:dyDescent="0.2">
      <c r="A33" s="1"/>
      <c r="B33" s="6" t="s">
        <v>34</v>
      </c>
      <c r="C33" s="22">
        <f>$H$33/4</f>
        <v>25</v>
      </c>
      <c r="D33" s="22">
        <f t="shared" ref="D33:F33" si="14">$H$33/4</f>
        <v>25</v>
      </c>
      <c r="E33" s="22">
        <f t="shared" si="14"/>
        <v>25</v>
      </c>
      <c r="F33" s="22">
        <f t="shared" si="14"/>
        <v>25</v>
      </c>
      <c r="G33" s="21">
        <f t="shared" si="9"/>
        <v>100</v>
      </c>
      <c r="H33" s="20">
        <v>100</v>
      </c>
      <c r="I33" s="12" t="s">
        <v>47</v>
      </c>
    </row>
    <row r="34" spans="1:10" x14ac:dyDescent="0.2">
      <c r="A34" s="1"/>
      <c r="B34" s="6" t="s">
        <v>35</v>
      </c>
      <c r="C34" s="22">
        <f>$H$34/4</f>
        <v>750</v>
      </c>
      <c r="D34" s="22">
        <f t="shared" ref="D34:F34" si="15">$H$34/4</f>
        <v>750</v>
      </c>
      <c r="E34" s="22">
        <f t="shared" si="15"/>
        <v>750</v>
      </c>
      <c r="F34" s="22">
        <f t="shared" si="15"/>
        <v>750</v>
      </c>
      <c r="G34" s="21">
        <f t="shared" si="9"/>
        <v>3000</v>
      </c>
      <c r="H34" s="20">
        <v>3000</v>
      </c>
      <c r="I34" s="12" t="s">
        <v>47</v>
      </c>
    </row>
    <row r="35" spans="1:10" x14ac:dyDescent="0.2">
      <c r="A35" s="1"/>
      <c r="B35" s="6" t="s">
        <v>33</v>
      </c>
      <c r="C35" s="22">
        <f>$H$35/4</f>
        <v>1000</v>
      </c>
      <c r="D35" s="22">
        <f t="shared" ref="D35:F35" si="16">$H$35/4</f>
        <v>1000</v>
      </c>
      <c r="E35" s="22">
        <f t="shared" si="16"/>
        <v>1000</v>
      </c>
      <c r="F35" s="22">
        <f t="shared" si="16"/>
        <v>1000</v>
      </c>
      <c r="G35" s="21">
        <f t="shared" si="9"/>
        <v>4000</v>
      </c>
      <c r="H35" s="20">
        <v>4000</v>
      </c>
      <c r="I35" s="12" t="s">
        <v>47</v>
      </c>
    </row>
    <row r="36" spans="1:10" x14ac:dyDescent="0.2">
      <c r="A36" s="1"/>
      <c r="B36" s="1" t="s">
        <v>24</v>
      </c>
      <c r="C36" s="19">
        <f t="shared" ref="C36:E36" si="17">SUM(C22:C35)</f>
        <v>12818.5</v>
      </c>
      <c r="D36" s="19">
        <f t="shared" si="17"/>
        <v>9168.5</v>
      </c>
      <c r="E36" s="19">
        <f t="shared" si="17"/>
        <v>9168.5</v>
      </c>
      <c r="F36" s="19">
        <f t="shared" ref="F36:H36" si="18">SUM(F22:F35)</f>
        <v>9168.5</v>
      </c>
      <c r="G36" s="19">
        <f t="shared" si="18"/>
        <v>40324</v>
      </c>
      <c r="H36" s="19">
        <f t="shared" si="18"/>
        <v>40324</v>
      </c>
    </row>
    <row r="37" spans="1:10" ht="8" customHeight="1" thickBot="1" x14ac:dyDescent="0.25">
      <c r="A37" s="1"/>
      <c r="B37" s="1"/>
      <c r="C37" s="1"/>
      <c r="D37" s="1"/>
      <c r="E37" s="1"/>
      <c r="F37" s="1"/>
      <c r="G37" s="1"/>
      <c r="H37" s="1"/>
    </row>
    <row r="38" spans="1:10" ht="17" thickBot="1" x14ac:dyDescent="0.25">
      <c r="A38" s="1"/>
      <c r="B38" s="1" t="s">
        <v>25</v>
      </c>
      <c r="C38" s="9">
        <f t="shared" ref="C38:E38" si="19">C19-C36</f>
        <v>-2366.5</v>
      </c>
      <c r="D38" s="9">
        <f t="shared" si="19"/>
        <v>1283.5</v>
      </c>
      <c r="E38" s="9">
        <f t="shared" si="19"/>
        <v>1283.5</v>
      </c>
      <c r="F38" s="9">
        <f t="shared" ref="F38:H38" si="20">F19-F36</f>
        <v>1283.5</v>
      </c>
      <c r="G38" s="9">
        <f t="shared" si="20"/>
        <v>1484</v>
      </c>
      <c r="H38" s="9">
        <f t="shared" si="20"/>
        <v>1484</v>
      </c>
      <c r="J38" s="8"/>
    </row>
    <row r="39" spans="1:10" x14ac:dyDescent="0.2">
      <c r="A39" s="1"/>
      <c r="B39" s="10"/>
    </row>
    <row r="40" spans="1:10" x14ac:dyDescent="0.2">
      <c r="A40" s="1"/>
      <c r="B40" s="10" t="s">
        <v>26</v>
      </c>
      <c r="C40" s="20">
        <v>0</v>
      </c>
      <c r="D40" s="20">
        <v>0</v>
      </c>
      <c r="E40" s="20">
        <v>0</v>
      </c>
      <c r="F40" s="20">
        <v>0</v>
      </c>
      <c r="G40" s="20">
        <f>-G38</f>
        <v>-1484</v>
      </c>
      <c r="H40" s="20">
        <f>-H38</f>
        <v>-1484</v>
      </c>
    </row>
    <row r="41" spans="1:10" x14ac:dyDescent="0.2">
      <c r="A41" s="1"/>
      <c r="B41" s="10"/>
    </row>
    <row r="42" spans="1:10" x14ac:dyDescent="0.2">
      <c r="A42" s="1"/>
      <c r="B42" s="1" t="s">
        <v>19</v>
      </c>
      <c r="C42" s="1"/>
      <c r="D42" s="1"/>
      <c r="E42" s="1"/>
      <c r="F42" s="1"/>
      <c r="G42" s="1"/>
      <c r="H42" s="1"/>
    </row>
    <row r="43" spans="1:10" x14ac:dyDescent="0.2">
      <c r="A43" s="1"/>
      <c r="B43" s="10" t="s">
        <v>26</v>
      </c>
      <c r="C43" s="20">
        <v>0</v>
      </c>
      <c r="D43" s="20">
        <v>0</v>
      </c>
      <c r="E43" s="20">
        <v>0</v>
      </c>
      <c r="F43" s="20">
        <v>0</v>
      </c>
      <c r="G43" s="20">
        <f>-G40</f>
        <v>1484</v>
      </c>
      <c r="H43" s="20">
        <f>-H40</f>
        <v>1484</v>
      </c>
    </row>
    <row r="44" spans="1:10" x14ac:dyDescent="0.2">
      <c r="B44" s="10" t="s">
        <v>38</v>
      </c>
      <c r="C44" s="20"/>
      <c r="D44" s="20"/>
      <c r="E44" s="20"/>
      <c r="F44" s="20"/>
      <c r="G44" s="20"/>
      <c r="H44" s="20"/>
    </row>
    <row r="45" spans="1:10" x14ac:dyDescent="0.2">
      <c r="A45" s="1"/>
      <c r="B45" s="1" t="s">
        <v>28</v>
      </c>
      <c r="C45" s="19">
        <f t="shared" ref="C45:E45" si="21">SUM(C43:C44)</f>
        <v>0</v>
      </c>
      <c r="D45" s="19">
        <f t="shared" si="21"/>
        <v>0</v>
      </c>
      <c r="E45" s="19">
        <f t="shared" si="21"/>
        <v>0</v>
      </c>
      <c r="F45" s="19">
        <f t="shared" ref="F45:H45" si="22">SUM(F43:F44)</f>
        <v>0</v>
      </c>
      <c r="G45" s="19">
        <f t="shared" si="22"/>
        <v>1484</v>
      </c>
      <c r="H45" s="19">
        <f t="shared" si="22"/>
        <v>1484</v>
      </c>
    </row>
    <row r="46" spans="1:10" ht="8" customHeight="1" x14ac:dyDescent="0.2">
      <c r="A46" s="1"/>
      <c r="B46" s="1"/>
      <c r="C46" s="1"/>
      <c r="D46" s="1"/>
      <c r="E46" s="1"/>
      <c r="F46" s="1"/>
      <c r="G46" s="1"/>
      <c r="H46" s="1"/>
    </row>
    <row r="47" spans="1:10" x14ac:dyDescent="0.2">
      <c r="A47" s="1"/>
      <c r="B47" s="1" t="s">
        <v>29</v>
      </c>
      <c r="C47" s="1"/>
      <c r="D47" s="1"/>
      <c r="E47" s="1"/>
      <c r="F47" s="1"/>
      <c r="G47" s="1"/>
      <c r="H47" s="1"/>
    </row>
    <row r="48" spans="1:10" x14ac:dyDescent="0.2">
      <c r="A48" s="1"/>
      <c r="B48" s="10" t="s">
        <v>8</v>
      </c>
      <c r="C48" s="20"/>
      <c r="D48" s="22">
        <v>24000</v>
      </c>
      <c r="E48" s="20"/>
      <c r="F48" s="20"/>
      <c r="G48" s="21">
        <f t="shared" ref="G48" si="23">SUM(C48:F48)</f>
        <v>24000</v>
      </c>
      <c r="H48" s="20">
        <f>15000+9000</f>
        <v>24000</v>
      </c>
      <c r="I48" s="17" t="s">
        <v>53</v>
      </c>
      <c r="J48" s="8"/>
    </row>
    <row r="49" spans="1:10" x14ac:dyDescent="0.2">
      <c r="A49" s="1"/>
      <c r="B49" s="1" t="s">
        <v>30</v>
      </c>
      <c r="C49" s="19">
        <f t="shared" ref="C49:E49" si="24">SUM(C48)</f>
        <v>0</v>
      </c>
      <c r="D49" s="19">
        <f t="shared" si="24"/>
        <v>24000</v>
      </c>
      <c r="E49" s="19">
        <f t="shared" si="24"/>
        <v>0</v>
      </c>
      <c r="F49" s="19">
        <f t="shared" ref="F49:H49" si="25">SUM(F48)</f>
        <v>0</v>
      </c>
      <c r="G49" s="19">
        <f t="shared" si="25"/>
        <v>24000</v>
      </c>
      <c r="H49" s="19">
        <f t="shared" si="25"/>
        <v>24000</v>
      </c>
    </row>
    <row r="50" spans="1:10" ht="8" customHeight="1" thickBot="1" x14ac:dyDescent="0.25">
      <c r="A50" s="1"/>
      <c r="B50" s="1"/>
      <c r="C50" s="1"/>
      <c r="D50" s="1"/>
      <c r="E50" s="1"/>
      <c r="F50" s="1"/>
      <c r="G50" s="1"/>
      <c r="H50" s="1"/>
    </row>
    <row r="51" spans="1:10" ht="17" thickBot="1" x14ac:dyDescent="0.25">
      <c r="A51" s="1"/>
      <c r="B51" s="1" t="s">
        <v>31</v>
      </c>
      <c r="C51" s="9">
        <f t="shared" ref="C51:E51" si="26">C45-C49</f>
        <v>0</v>
      </c>
      <c r="D51" s="9">
        <f t="shared" si="26"/>
        <v>-24000</v>
      </c>
      <c r="E51" s="9">
        <f t="shared" si="26"/>
        <v>0</v>
      </c>
      <c r="F51" s="9">
        <f t="shared" ref="F51:H51" si="27">F45-F49</f>
        <v>0</v>
      </c>
      <c r="G51" s="9">
        <f t="shared" ref="G51" si="28">G45-G49</f>
        <v>-22516</v>
      </c>
      <c r="H51" s="9">
        <f t="shared" si="27"/>
        <v>-22516</v>
      </c>
      <c r="J51" s="8"/>
    </row>
    <row r="52" spans="1:10" ht="17" thickBot="1" x14ac:dyDescent="0.25"/>
    <row r="53" spans="1:10" ht="17" thickBot="1" x14ac:dyDescent="0.25">
      <c r="A53" s="1"/>
      <c r="B53" s="1" t="s">
        <v>32</v>
      </c>
      <c r="C53" s="9">
        <f t="shared" ref="C53:E53" si="29">C38+C40+C51</f>
        <v>-2366.5</v>
      </c>
      <c r="D53" s="9">
        <f t="shared" si="29"/>
        <v>-22716.5</v>
      </c>
      <c r="E53" s="9">
        <f t="shared" si="29"/>
        <v>1283.5</v>
      </c>
      <c r="F53" s="9">
        <f t="shared" ref="F53:H53" si="30">F38+F40+F51</f>
        <v>1283.5</v>
      </c>
      <c r="G53" s="9">
        <f t="shared" ref="G53" si="31">G38+G40+G51</f>
        <v>-22516</v>
      </c>
      <c r="H53" s="9">
        <f t="shared" si="30"/>
        <v>-22516</v>
      </c>
      <c r="J53" s="8"/>
    </row>
  </sheetData>
  <pageMargins left="0.7" right="0.7" top="0.75" bottom="0.75" header="0.3" footer="0.3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Budget</vt:lpstr>
      <vt:lpstr>QBO View</vt:lpstr>
      <vt:lpstr>Budget!Print_Area</vt:lpstr>
      <vt:lpstr>'QBO View'!Print_Area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Allyson Dickey</dc:creator>
  <cp:lastModifiedBy>Microsoft Office User</cp:lastModifiedBy>
  <cp:lastPrinted>2022-02-27T16:19:35Z</cp:lastPrinted>
  <dcterms:created xsi:type="dcterms:W3CDTF">2018-09-18T20:06:45Z</dcterms:created>
  <dcterms:modified xsi:type="dcterms:W3CDTF">2022-11-18T17:30:01Z</dcterms:modified>
</cp:coreProperties>
</file>