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lysondickey/Model HOA Dropbox/Allyson Dickey/Board Folders/Red Hawk Ranch - Board Materials/Reserve Study/2024/"/>
    </mc:Choice>
  </mc:AlternateContent>
  <xr:revisionPtr revIDLastSave="0" documentId="13_ncr:1_{430D09EE-D3B6-644D-90C0-53C8A2ACE904}" xr6:coauthVersionLast="47" xr6:coauthVersionMax="47" xr10:uidLastSave="{00000000-0000-0000-0000-000000000000}"/>
  <bookViews>
    <workbookView xWindow="0" yWindow="760" windowWidth="28800" windowHeight="17500" activeTab="3" xr2:uid="{00000000-000D-0000-FFFF-FFFF00000000}"/>
  </bookViews>
  <sheets>
    <sheet name="2013" sheetId="4" r:id="rId1"/>
    <sheet name="2021" sheetId="1" r:id="rId2"/>
    <sheet name="2022" sheetId="5" r:id="rId3"/>
    <sheet name="202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6" l="1"/>
  <c r="H53" i="6" s="1"/>
  <c r="I53" i="6" s="1"/>
  <c r="F55" i="6"/>
  <c r="E55" i="6"/>
  <c r="F54" i="6"/>
  <c r="E54" i="6"/>
  <c r="F53" i="6"/>
  <c r="E53" i="6"/>
  <c r="F52" i="6"/>
  <c r="E52" i="6"/>
  <c r="F51" i="6"/>
  <c r="E51" i="6" s="1"/>
  <c r="G27" i="6"/>
  <c r="H25" i="6" s="1"/>
  <c r="I25" i="6" s="1"/>
  <c r="H26" i="6"/>
  <c r="I26" i="6" s="1"/>
  <c r="F26" i="6"/>
  <c r="F25" i="6"/>
  <c r="E25" i="6" s="1"/>
  <c r="J25" i="6" s="1"/>
  <c r="K25" i="6" s="1"/>
  <c r="L25" i="6" s="1"/>
  <c r="H24" i="6"/>
  <c r="H27" i="6" s="1"/>
  <c r="G24" i="6"/>
  <c r="F24" i="6"/>
  <c r="E24" i="6" s="1"/>
  <c r="G24" i="5"/>
  <c r="F52" i="5"/>
  <c r="E52" i="5" s="1"/>
  <c r="F53" i="5"/>
  <c r="E53" i="5" s="1"/>
  <c r="F54" i="5"/>
  <c r="E54" i="5" s="1"/>
  <c r="F55" i="5"/>
  <c r="E55" i="5" s="1"/>
  <c r="F51" i="5"/>
  <c r="E51" i="5" s="1"/>
  <c r="F25" i="5"/>
  <c r="E25" i="5" s="1"/>
  <c r="F26" i="5"/>
  <c r="E26" i="5" s="1"/>
  <c r="F24" i="5"/>
  <c r="E24" i="5" s="1"/>
  <c r="J53" i="6" l="1"/>
  <c r="K53" i="6" s="1"/>
  <c r="L53" i="6" s="1"/>
  <c r="J26" i="6"/>
  <c r="K26" i="6" s="1"/>
  <c r="L26" i="6" s="1"/>
  <c r="H52" i="6"/>
  <c r="I52" i="6" s="1"/>
  <c r="J52" i="6" s="1"/>
  <c r="K52" i="6" s="1"/>
  <c r="L52" i="6" s="1"/>
  <c r="H51" i="6"/>
  <c r="I24" i="6"/>
  <c r="I27" i="6" s="1"/>
  <c r="H54" i="6"/>
  <c r="I54" i="6" s="1"/>
  <c r="J54" i="6" s="1"/>
  <c r="K54" i="6" s="1"/>
  <c r="L54" i="6" s="1"/>
  <c r="H55" i="6"/>
  <c r="I55" i="6" s="1"/>
  <c r="J55" i="6" s="1"/>
  <c r="K55" i="6" s="1"/>
  <c r="L55" i="6" s="1"/>
  <c r="E55" i="1"/>
  <c r="E56" i="1"/>
  <c r="D54" i="1"/>
  <c r="D53" i="1"/>
  <c r="D52" i="1"/>
  <c r="G54" i="1"/>
  <c r="G55" i="1"/>
  <c r="G56" i="1"/>
  <c r="G52" i="1"/>
  <c r="F57" i="1"/>
  <c r="I51" i="6" l="1"/>
  <c r="H56" i="6"/>
  <c r="J24" i="6"/>
  <c r="G27" i="5"/>
  <c r="G56" i="5"/>
  <c r="H52" i="5" s="1"/>
  <c r="I52" i="5" s="1"/>
  <c r="J52" i="5" s="1"/>
  <c r="K52" i="5" s="1"/>
  <c r="L52" i="5" s="1"/>
  <c r="E53" i="1"/>
  <c r="E54" i="1"/>
  <c r="E52" i="1"/>
  <c r="K24" i="6" l="1"/>
  <c r="J27" i="6"/>
  <c r="I56" i="6"/>
  <c r="J51" i="6"/>
  <c r="H53" i="5"/>
  <c r="I53" i="5" s="1"/>
  <c r="J53" i="5" s="1"/>
  <c r="K53" i="5" s="1"/>
  <c r="L53" i="5" s="1"/>
  <c r="H55" i="5"/>
  <c r="I55" i="5" s="1"/>
  <c r="J55" i="5" s="1"/>
  <c r="K55" i="5" s="1"/>
  <c r="L55" i="5" s="1"/>
  <c r="H54" i="5"/>
  <c r="I54" i="5" s="1"/>
  <c r="J54" i="5" s="1"/>
  <c r="K54" i="5" s="1"/>
  <c r="L54" i="5" s="1"/>
  <c r="H25" i="5"/>
  <c r="I25" i="5" s="1"/>
  <c r="J25" i="5" s="1"/>
  <c r="K25" i="5" s="1"/>
  <c r="L25" i="5" s="1"/>
  <c r="H26" i="5"/>
  <c r="I26" i="5" s="1"/>
  <c r="J26" i="5" s="1"/>
  <c r="K26" i="5" s="1"/>
  <c r="L26" i="5" s="1"/>
  <c r="H24" i="5"/>
  <c r="H51" i="5"/>
  <c r="G23" i="1"/>
  <c r="F29" i="1"/>
  <c r="E28" i="1"/>
  <c r="E27" i="1"/>
  <c r="G27" i="4"/>
  <c r="H26" i="4"/>
  <c r="H25" i="4"/>
  <c r="H24" i="4"/>
  <c r="H23" i="4"/>
  <c r="H22" i="4"/>
  <c r="B17" i="4"/>
  <c r="B19" i="4" s="1"/>
  <c r="H12" i="4"/>
  <c r="I12" i="4" s="1"/>
  <c r="H11" i="4"/>
  <c r="B11" i="4"/>
  <c r="I11" i="4" s="1"/>
  <c r="H10" i="4"/>
  <c r="B10" i="4"/>
  <c r="G9" i="4"/>
  <c r="H9" i="4" s="1"/>
  <c r="B2" i="4"/>
  <c r="B6" i="4" s="1"/>
  <c r="B9" i="4" s="1"/>
  <c r="K51" i="6" l="1"/>
  <c r="J56" i="6"/>
  <c r="L24" i="6"/>
  <c r="L27" i="6" s="1"/>
  <c r="C16" i="6" s="1"/>
  <c r="K27" i="6"/>
  <c r="H56" i="5"/>
  <c r="I51" i="5"/>
  <c r="H27" i="5"/>
  <c r="I24" i="5"/>
  <c r="H13" i="4"/>
  <c r="G13" i="4"/>
  <c r="H27" i="4"/>
  <c r="B26" i="4" s="1"/>
  <c r="I26" i="4" s="1"/>
  <c r="B13" i="4"/>
  <c r="I9" i="4"/>
  <c r="I10" i="4"/>
  <c r="C17" i="6" l="1"/>
  <c r="C20" i="6"/>
  <c r="C19" i="6"/>
  <c r="K56" i="6"/>
  <c r="L51" i="6"/>
  <c r="L56" i="6" s="1"/>
  <c r="C43" i="6" s="1"/>
  <c r="I56" i="5"/>
  <c r="I27" i="5"/>
  <c r="B23" i="4"/>
  <c r="I23" i="4" s="1"/>
  <c r="B24" i="4"/>
  <c r="I24" i="4" s="1"/>
  <c r="B22" i="4"/>
  <c r="B27" i="4" s="1"/>
  <c r="B25" i="4"/>
  <c r="I25" i="4" s="1"/>
  <c r="I13" i="4"/>
  <c r="I22" i="4"/>
  <c r="C47" i="6" l="1"/>
  <c r="C46" i="6"/>
  <c r="C44" i="6"/>
  <c r="I27" i="4"/>
  <c r="E23" i="1"/>
  <c r="C13" i="1"/>
  <c r="G57" i="1" l="1"/>
  <c r="H54" i="1" l="1"/>
  <c r="I54" i="1" s="1"/>
  <c r="J54" i="1" s="1"/>
  <c r="H52" i="1"/>
  <c r="H53" i="1"/>
  <c r="I53" i="1" s="1"/>
  <c r="J53" i="1" s="1"/>
  <c r="H55" i="1"/>
  <c r="I55" i="1" s="1"/>
  <c r="J55" i="1" s="1"/>
  <c r="H56" i="1"/>
  <c r="I56" i="1" s="1"/>
  <c r="J56" i="1" s="1"/>
  <c r="G29" i="1"/>
  <c r="K56" i="1" l="1"/>
  <c r="L56" i="1" s="1"/>
  <c r="K55" i="1"/>
  <c r="L55" i="1" s="1"/>
  <c r="K53" i="1"/>
  <c r="L53" i="1" s="1"/>
  <c r="K54" i="1"/>
  <c r="L54" i="1" s="1"/>
  <c r="I52" i="1"/>
  <c r="J52" i="1" s="1"/>
  <c r="H57" i="1"/>
  <c r="H27" i="1"/>
  <c r="I27" i="1" s="1"/>
  <c r="J27" i="1" s="1"/>
  <c r="H28" i="1"/>
  <c r="I28" i="1" s="1"/>
  <c r="J28" i="1" s="1"/>
  <c r="H23" i="1"/>
  <c r="I57" i="1" l="1"/>
  <c r="K28" i="1"/>
  <c r="L28" i="1" s="1"/>
  <c r="K27" i="1"/>
  <c r="L27" i="1" s="1"/>
  <c r="I23" i="1"/>
  <c r="J23" i="1" s="1"/>
  <c r="H29" i="1"/>
  <c r="J57" i="1" l="1"/>
  <c r="K52" i="1"/>
  <c r="K23" i="1"/>
  <c r="J29" i="1"/>
  <c r="I29" i="1"/>
  <c r="L52" i="1" l="1"/>
  <c r="L57" i="1" s="1"/>
  <c r="C45" i="1" s="1"/>
  <c r="K57" i="1"/>
  <c r="L23" i="1"/>
  <c r="L29" i="1" s="1"/>
  <c r="C16" i="1" s="1"/>
  <c r="K29" i="1"/>
  <c r="C48" i="1" l="1"/>
  <c r="C46" i="1"/>
  <c r="C17" i="1"/>
  <c r="C19" i="1"/>
  <c r="J24" i="5"/>
  <c r="J27" i="5" s="1"/>
  <c r="K24" i="5" l="1"/>
  <c r="L24" i="5" l="1"/>
  <c r="L27" i="5" s="1"/>
  <c r="C16" i="5" s="1"/>
  <c r="C19" i="5" s="1"/>
  <c r="K27" i="5"/>
  <c r="C17" i="5" l="1"/>
  <c r="C20" i="5"/>
  <c r="J51" i="5"/>
  <c r="J56" i="5" s="1"/>
  <c r="K51" i="5" l="1"/>
  <c r="K56" i="5" l="1"/>
  <c r="L51" i="5"/>
  <c r="L56" i="5" s="1"/>
  <c r="C43" i="5" s="1"/>
  <c r="C46" i="5" s="1"/>
  <c r="C47" i="5" l="1"/>
  <c r="C4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7" authorId="0" shapeId="0" xr:uid="{1B6B6298-803A-404B-AC46-270D9000654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in 2020</t>
        </r>
      </text>
    </comment>
    <comment ref="G28" authorId="0" shapeId="0" xr:uid="{157DF830-9EDB-8042-9B59-46310846B7A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4" authorId="0" shapeId="0" xr:uid="{CC0A5FC7-2A35-5A44-93DC-BEE28CB4ED8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Per Preferred Paving bid in 2022</t>
        </r>
      </text>
    </comment>
    <comment ref="G25" authorId="0" shapeId="0" xr:uid="{9F53C2ED-D505-1045-B3D8-128965D91B7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in 2020</t>
        </r>
      </text>
    </comment>
    <comment ref="G26" authorId="0" shapeId="0" xr:uid="{2AC95F42-2209-7441-9B43-DDAFB0720E8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4" authorId="0" shapeId="0" xr:uid="{2D65A402-35A9-A342-98B7-87EDA858A58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Per Preferred Paving bid in 2022</t>
        </r>
      </text>
    </comment>
    <comment ref="G25" authorId="0" shapeId="0" xr:uid="{6663073A-72A4-CF4C-BA39-68B9EB9AC45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in 2020</t>
        </r>
      </text>
    </comment>
    <comment ref="G26" authorId="0" shapeId="0" xr:uid="{0EF7A1D1-E018-2147-92A7-B803874F593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Estimate</t>
        </r>
      </text>
    </comment>
  </commentList>
</comments>
</file>

<file path=xl/sharedStrings.xml><?xml version="1.0" encoding="utf-8"?>
<sst xmlns="http://schemas.openxmlformats.org/spreadsheetml/2006/main" count="230" uniqueCount="67">
  <si>
    <t xml:space="preserve">Current Balance </t>
  </si>
  <si>
    <t>Remaining Useful Life</t>
  </si>
  <si>
    <t>70% of Future Value</t>
  </si>
  <si>
    <t>Road Resurface</t>
  </si>
  <si>
    <t>Road Sealing</t>
  </si>
  <si>
    <t>Piping</t>
  </si>
  <si>
    <t>Tanks</t>
  </si>
  <si>
    <t>Wells</t>
  </si>
  <si>
    <t>Pumps</t>
  </si>
  <si>
    <t>Telemetry</t>
  </si>
  <si>
    <t>Current Est. Cost of Item</t>
  </si>
  <si>
    <t>Annual Contribution</t>
  </si>
  <si>
    <t>Pro-rata Reserve $</t>
  </si>
  <si>
    <t>Reserve Item</t>
  </si>
  <si>
    <t>Savings Interest</t>
  </si>
  <si>
    <t>Useful Life</t>
  </si>
  <si>
    <t>Annual Inflation</t>
  </si>
  <si>
    <t>Reserves</t>
  </si>
  <si>
    <t>1 YR. Operating Exp.</t>
  </si>
  <si>
    <t>Total CK &amp; Savings</t>
  </si>
  <si>
    <t>Balance</t>
  </si>
  <si>
    <t>Red Hawk Owners Association</t>
  </si>
  <si>
    <t>Red Hawk Water Company</t>
  </si>
  <si>
    <t>Estimate</t>
  </si>
  <si>
    <t>Actual</t>
  </si>
  <si>
    <t>Red Hawk Ranch Reserve Study - 2021</t>
  </si>
  <si>
    <t>Gate Replacement</t>
  </si>
  <si>
    <t>Reserve Items</t>
  </si>
  <si>
    <t>Inputs</t>
  </si>
  <si>
    <t>Road Sealing Reserve</t>
  </si>
  <si>
    <t>Red Hawk Lane Reserve</t>
  </si>
  <si>
    <t>Road Resurface Reserves</t>
  </si>
  <si>
    <t>Red Hawk Lane</t>
  </si>
  <si>
    <t>Gate</t>
  </si>
  <si>
    <t>Reserve Study Year</t>
  </si>
  <si>
    <t>Remainder Needed</t>
  </si>
  <si>
    <t>Annual Contribution Needed</t>
  </si>
  <si>
    <t>Allocated %</t>
  </si>
  <si>
    <t>Reserve Account Balance (as of 12/31/20)</t>
  </si>
  <si>
    <t>Year Replacement Needed</t>
  </si>
  <si>
    <t>Output Summary</t>
  </si>
  <si>
    <t>Recommended Annual Contribution</t>
  </si>
  <si>
    <t>Number of lots</t>
  </si>
  <si>
    <t>Allocated Reserve Balance</t>
  </si>
  <si>
    <t>FV of Allocated Reserve</t>
  </si>
  <si>
    <t>Prior Reserve Study Year</t>
  </si>
  <si>
    <t>Prior Replacement Cost</t>
  </si>
  <si>
    <t>Current Replacement Cost</t>
  </si>
  <si>
    <t>Recommended Annual Per Lot</t>
  </si>
  <si>
    <t>Variance from Recommendation</t>
  </si>
  <si>
    <t>Reserve Analysis</t>
  </si>
  <si>
    <t>Red Hawk Ranch Water Company</t>
  </si>
  <si>
    <t>Red Hawk Ranch Owners Association</t>
  </si>
  <si>
    <t>Number of Members</t>
  </si>
  <si>
    <t>Budgeted Annual Contribution</t>
  </si>
  <si>
    <t>Annual Interest Rate</t>
  </si>
  <si>
    <t>Road Resurface - Phase 1</t>
  </si>
  <si>
    <t>Road Resurface - Phase 2</t>
  </si>
  <si>
    <t>Updated in November 2022 with Hanson, Allen &amp; Luce</t>
  </si>
  <si>
    <t>Red Hawk Ranch Reserve Study - 2022</t>
  </si>
  <si>
    <t>Reserve Account Balance (as of 12/31/21)</t>
  </si>
  <si>
    <t>Road Mill &amp; Overlay</t>
  </si>
  <si>
    <t>Year Last Done</t>
  </si>
  <si>
    <t>Budgeted Annual Contribution for 2023</t>
  </si>
  <si>
    <t>Budgeted contribution as % of recommended</t>
  </si>
  <si>
    <t>Reserve Account Balance (as of 09/30/24)</t>
  </si>
  <si>
    <t>Red Hawk Ranch Reserve Study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</si>
</sst>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u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theme="0"/>
      <name val="Garamond"/>
      <family val="1"/>
    </font>
    <font>
      <i/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0" fontId="3" fillId="0" borderId="0" xfId="0" applyFont="1" applyAlignment="1">
      <alignment horizontal="left" indent="1"/>
    </xf>
    <xf numFmtId="9" fontId="3" fillId="0" borderId="0" xfId="2" applyFont="1"/>
    <xf numFmtId="10" fontId="3" fillId="0" borderId="0" xfId="2" applyNumberFormat="1" applyFont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44" fontId="0" fillId="0" borderId="0" xfId="1" applyFont="1"/>
    <xf numFmtId="44" fontId="0" fillId="0" borderId="0" xfId="1" applyFont="1" applyBorder="1"/>
    <xf numFmtId="44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1" xfId="1" applyNumberFormat="1" applyFont="1" applyBorder="1"/>
    <xf numFmtId="44" fontId="0" fillId="0" borderId="0" xfId="0" applyNumberFormat="1"/>
    <xf numFmtId="8" fontId="0" fillId="0" borderId="0" xfId="0" applyNumberFormat="1"/>
    <xf numFmtId="164" fontId="3" fillId="0" borderId="0" xfId="0" applyNumberFormat="1" applyFont="1" applyAlignment="1">
      <alignment horizontal="center"/>
    </xf>
    <xf numFmtId="164" fontId="4" fillId="0" borderId="0" xfId="1" applyNumberFormat="1" applyFont="1"/>
    <xf numFmtId="9" fontId="4" fillId="0" borderId="0" xfId="2" applyFont="1"/>
    <xf numFmtId="9" fontId="3" fillId="0" borderId="1" xfId="2" applyFont="1" applyBorder="1"/>
    <xf numFmtId="0" fontId="4" fillId="0" borderId="0" xfId="0" applyFont="1" applyAlignment="1">
      <alignment horizontal="left" indent="1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indent="1"/>
    </xf>
    <xf numFmtId="164" fontId="4" fillId="2" borderId="0" xfId="0" applyNumberFormat="1" applyFont="1" applyFill="1" applyAlignment="1">
      <alignment horizontal="center"/>
    </xf>
    <xf numFmtId="164" fontId="3" fillId="2" borderId="0" xfId="1" applyNumberFormat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/>
    <xf numFmtId="0" fontId="0" fillId="3" borderId="0" xfId="0" applyFill="1"/>
    <xf numFmtId="0" fontId="3" fillId="0" borderId="1" xfId="0" applyFont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9" fillId="0" borderId="0" xfId="0" applyFont="1"/>
    <xf numFmtId="9" fontId="3" fillId="0" borderId="0" xfId="2" applyFont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0735-4A42-D14E-B28C-F0EDBECB54AC}">
  <dimension ref="A1:I28"/>
  <sheetViews>
    <sheetView zoomScale="133" zoomScaleNormal="133" workbookViewId="0">
      <selection activeCell="G10" sqref="G10"/>
    </sheetView>
  </sheetViews>
  <sheetFormatPr baseColWidth="10" defaultColWidth="8.83203125" defaultRowHeight="15" x14ac:dyDescent="0.2"/>
  <cols>
    <col min="1" max="1" width="23.5" customWidth="1"/>
    <col min="2" max="2" width="13" customWidth="1"/>
    <col min="3" max="3" width="8.83203125" style="14"/>
    <col min="4" max="4" width="6.83203125" style="14" customWidth="1"/>
    <col min="5" max="5" width="10.6640625" style="14" customWidth="1"/>
    <col min="6" max="6" width="8.83203125" style="14"/>
    <col min="7" max="7" width="11.6640625" style="15" customWidth="1"/>
    <col min="8" max="9" width="12.33203125" customWidth="1"/>
  </cols>
  <sheetData>
    <row r="1" spans="1:9" ht="19" x14ac:dyDescent="0.25">
      <c r="A1" s="13" t="s">
        <v>21</v>
      </c>
    </row>
    <row r="2" spans="1:9" x14ac:dyDescent="0.2">
      <c r="A2" t="s">
        <v>19</v>
      </c>
      <c r="B2" s="16">
        <f>40533.86+49315.7</f>
        <v>89849.56</v>
      </c>
      <c r="C2" s="14" t="s">
        <v>24</v>
      </c>
    </row>
    <row r="3" spans="1:9" x14ac:dyDescent="0.2">
      <c r="A3" t="s">
        <v>29</v>
      </c>
      <c r="B3" s="16">
        <v>27747.26</v>
      </c>
      <c r="C3" s="14" t="s">
        <v>24</v>
      </c>
    </row>
    <row r="4" spans="1:9" x14ac:dyDescent="0.2">
      <c r="A4" t="s">
        <v>30</v>
      </c>
      <c r="B4" s="17">
        <v>61916.1</v>
      </c>
      <c r="C4" s="14" t="s">
        <v>24</v>
      </c>
    </row>
    <row r="5" spans="1:9" x14ac:dyDescent="0.2">
      <c r="A5" t="s">
        <v>18</v>
      </c>
      <c r="B5" s="18">
        <v>52000</v>
      </c>
      <c r="C5" s="14" t="s">
        <v>23</v>
      </c>
    </row>
    <row r="6" spans="1:9" x14ac:dyDescent="0.2">
      <c r="A6" t="s">
        <v>31</v>
      </c>
      <c r="B6" s="16">
        <f>B2-B5</f>
        <v>37849.56</v>
      </c>
      <c r="C6" s="14" t="s">
        <v>20</v>
      </c>
    </row>
    <row r="7" spans="1:9" x14ac:dyDescent="0.2">
      <c r="B7" s="16"/>
    </row>
    <row r="8" spans="1:9" ht="32" x14ac:dyDescent="0.2">
      <c r="A8" s="19" t="s">
        <v>13</v>
      </c>
      <c r="B8" s="20" t="s">
        <v>0</v>
      </c>
      <c r="C8" s="20" t="s">
        <v>14</v>
      </c>
      <c r="D8" s="20" t="s">
        <v>15</v>
      </c>
      <c r="E8" s="20" t="s">
        <v>1</v>
      </c>
      <c r="F8" s="20" t="s">
        <v>16</v>
      </c>
      <c r="G8" s="21" t="s">
        <v>10</v>
      </c>
      <c r="H8" s="20" t="s">
        <v>2</v>
      </c>
      <c r="I8" s="20" t="s">
        <v>11</v>
      </c>
    </row>
    <row r="9" spans="1:9" x14ac:dyDescent="0.2">
      <c r="A9" t="s">
        <v>3</v>
      </c>
      <c r="B9" s="16">
        <f>B6</f>
        <v>37849.56</v>
      </c>
      <c r="C9" s="22">
        <v>2.5000000000000001E-3</v>
      </c>
      <c r="D9" s="14">
        <v>25</v>
      </c>
      <c r="E9" s="14">
        <v>20</v>
      </c>
      <c r="F9" s="23">
        <v>0.03</v>
      </c>
      <c r="G9" s="15">
        <f>5280*2*16*2</f>
        <v>337920</v>
      </c>
      <c r="H9" s="15">
        <f>-FV(F9,E9,0,G9,0)*0.7</f>
        <v>427224.77589364169</v>
      </c>
      <c r="I9" s="15">
        <f>PMT(C9,E9,B9,H9,0)</f>
        <v>-22800.89110227496</v>
      </c>
    </row>
    <row r="10" spans="1:9" x14ac:dyDescent="0.2">
      <c r="A10" t="s">
        <v>4</v>
      </c>
      <c r="B10" s="16">
        <f>B3</f>
        <v>27747.26</v>
      </c>
      <c r="C10" s="22">
        <v>2.5000000000000001E-3</v>
      </c>
      <c r="D10" s="14">
        <v>5</v>
      </c>
      <c r="E10" s="14">
        <v>5</v>
      </c>
      <c r="F10" s="23">
        <v>0.03</v>
      </c>
      <c r="G10" s="15">
        <v>32000</v>
      </c>
      <c r="H10" s="15">
        <f>-FV(F10,E10,0,G10,0)*0.7</f>
        <v>25967.739264319996</v>
      </c>
      <c r="I10" s="15">
        <f>PMT(C10,E10,B10,H10,0)</f>
        <v>-10758.787123155375</v>
      </c>
    </row>
    <row r="11" spans="1:9" x14ac:dyDescent="0.2">
      <c r="A11" t="s">
        <v>32</v>
      </c>
      <c r="B11" s="16">
        <f>B4</f>
        <v>61916.1</v>
      </c>
      <c r="C11" s="22">
        <v>2.5000000000000001E-3</v>
      </c>
      <c r="D11" s="14">
        <v>25</v>
      </c>
      <c r="E11" s="14">
        <v>25</v>
      </c>
      <c r="F11" s="23">
        <v>0.03</v>
      </c>
      <c r="G11" s="15">
        <v>65000</v>
      </c>
      <c r="H11" s="15">
        <f t="shared" ref="H11:H12" si="0">-FV(F11,E11,0,G11,0)*0.7</f>
        <v>95266.895799266713</v>
      </c>
      <c r="I11" s="15">
        <f>PMT(C11,E11,B11,H11,0)</f>
        <v>-6255.5311832475254</v>
      </c>
    </row>
    <row r="12" spans="1:9" x14ac:dyDescent="0.2">
      <c r="A12" t="s">
        <v>33</v>
      </c>
      <c r="B12" s="18">
        <v>0</v>
      </c>
      <c r="C12" s="22">
        <v>2.5000000000000001E-3</v>
      </c>
      <c r="D12" s="14">
        <v>15</v>
      </c>
      <c r="E12" s="14">
        <v>10</v>
      </c>
      <c r="F12" s="23">
        <v>0.03</v>
      </c>
      <c r="G12" s="24">
        <v>5000</v>
      </c>
      <c r="H12" s="24">
        <f t="shared" si="0"/>
        <v>4703.7073277044256</v>
      </c>
      <c r="I12" s="24">
        <f t="shared" ref="I12:I26" si="1">PMT(C12,E12,B12,H12,0)</f>
        <v>-465.1032849970444</v>
      </c>
    </row>
    <row r="13" spans="1:9" x14ac:dyDescent="0.2">
      <c r="B13" s="25">
        <f>SUM(B9:B12)</f>
        <v>127512.91999999998</v>
      </c>
      <c r="C13" s="22"/>
      <c r="F13" s="23"/>
      <c r="G13" s="15">
        <f>SUM(G9:G12)</f>
        <v>439920</v>
      </c>
      <c r="H13" s="15">
        <f t="shared" ref="H13:I13" si="2">SUM(H9:H12)</f>
        <v>553163.1182849328</v>
      </c>
      <c r="I13" s="15">
        <f t="shared" si="2"/>
        <v>-40280.312693674903</v>
      </c>
    </row>
    <row r="14" spans="1:9" x14ac:dyDescent="0.2">
      <c r="B14" s="25"/>
      <c r="C14" s="22"/>
      <c r="F14" s="23"/>
      <c r="H14" s="15"/>
      <c r="I14" s="26"/>
    </row>
    <row r="15" spans="1:9" x14ac:dyDescent="0.2">
      <c r="B15" s="25"/>
      <c r="C15" s="22"/>
      <c r="F15" s="23"/>
      <c r="H15" s="15"/>
      <c r="I15" s="26"/>
    </row>
    <row r="16" spans="1:9" ht="19" x14ac:dyDescent="0.25">
      <c r="A16" s="13" t="s">
        <v>22</v>
      </c>
      <c r="F16" s="23"/>
      <c r="I16" s="26"/>
    </row>
    <row r="17" spans="1:9" x14ac:dyDescent="0.2">
      <c r="A17" t="s">
        <v>19</v>
      </c>
      <c r="B17" s="16">
        <f>104275.83+72454.84</f>
        <v>176730.66999999998</v>
      </c>
      <c r="C17" s="14" t="s">
        <v>24</v>
      </c>
      <c r="F17" s="23"/>
      <c r="I17" s="26"/>
    </row>
    <row r="18" spans="1:9" x14ac:dyDescent="0.2">
      <c r="A18" t="s">
        <v>18</v>
      </c>
      <c r="B18" s="18">
        <v>40500</v>
      </c>
      <c r="C18" s="14" t="s">
        <v>23</v>
      </c>
      <c r="F18" s="23"/>
      <c r="I18" s="26"/>
    </row>
    <row r="19" spans="1:9" x14ac:dyDescent="0.2">
      <c r="A19" t="s">
        <v>17</v>
      </c>
      <c r="B19" s="16">
        <f>B17-B18</f>
        <v>136230.66999999998</v>
      </c>
      <c r="C19" s="14" t="s">
        <v>20</v>
      </c>
      <c r="F19" s="23"/>
      <c r="I19" s="26"/>
    </row>
    <row r="20" spans="1:9" x14ac:dyDescent="0.2">
      <c r="B20" s="16"/>
      <c r="F20" s="23"/>
      <c r="I20" s="26"/>
    </row>
    <row r="21" spans="1:9" ht="32" x14ac:dyDescent="0.2">
      <c r="A21" s="19" t="s">
        <v>13</v>
      </c>
      <c r="B21" s="20" t="s">
        <v>12</v>
      </c>
      <c r="C21" s="20" t="s">
        <v>14</v>
      </c>
      <c r="D21" s="20" t="s">
        <v>15</v>
      </c>
      <c r="E21" s="20" t="s">
        <v>1</v>
      </c>
      <c r="F21" s="20" t="s">
        <v>16</v>
      </c>
      <c r="G21" s="21" t="s">
        <v>10</v>
      </c>
      <c r="H21" s="20" t="s">
        <v>2</v>
      </c>
      <c r="I21" s="20" t="s">
        <v>11</v>
      </c>
    </row>
    <row r="22" spans="1:9" x14ac:dyDescent="0.2">
      <c r="A22" t="s">
        <v>5</v>
      </c>
      <c r="B22" s="16">
        <f>(H22/$H$27)*$B$19</f>
        <v>117818.82192424776</v>
      </c>
      <c r="C22" s="22">
        <v>2.5000000000000001E-3</v>
      </c>
      <c r="D22" s="14">
        <v>50</v>
      </c>
      <c r="E22" s="14">
        <v>30</v>
      </c>
      <c r="F22" s="23">
        <v>0.03</v>
      </c>
      <c r="G22" s="15">
        <v>1850000</v>
      </c>
      <c r="H22" s="15">
        <f>-FV(F22,E22,0,G22,0)*0.7</f>
        <v>3143304.9001906081</v>
      </c>
      <c r="I22" s="15">
        <f t="shared" si="1"/>
        <v>-105108.976793432</v>
      </c>
    </row>
    <row r="23" spans="1:9" x14ac:dyDescent="0.2">
      <c r="A23" t="s">
        <v>6</v>
      </c>
      <c r="B23" s="16">
        <f>(H23/$H$27)*$B$19</f>
        <v>12100.311440868691</v>
      </c>
      <c r="C23" s="22">
        <v>2.5000000000000001E-3</v>
      </c>
      <c r="D23" s="14">
        <v>50</v>
      </c>
      <c r="E23" s="14">
        <v>30</v>
      </c>
      <c r="F23" s="23">
        <v>0.03</v>
      </c>
      <c r="G23" s="15">
        <v>190000</v>
      </c>
      <c r="H23" s="15">
        <f t="shared" ref="H23:H26" si="3">-FV(F23,E23,0,G23,0)*0.7</f>
        <v>322825.90866822464</v>
      </c>
      <c r="I23" s="15">
        <f t="shared" si="1"/>
        <v>-10794.975995001125</v>
      </c>
    </row>
    <row r="24" spans="1:9" x14ac:dyDescent="0.2">
      <c r="A24" t="s">
        <v>7</v>
      </c>
      <c r="B24" s="16">
        <f>(H24/$H$27)*$B$19</f>
        <v>5094.8679751026066</v>
      </c>
      <c r="C24" s="22">
        <v>2.5000000000000001E-3</v>
      </c>
      <c r="D24" s="14">
        <v>50</v>
      </c>
      <c r="E24" s="14">
        <v>30</v>
      </c>
      <c r="F24" s="23">
        <v>0.03</v>
      </c>
      <c r="G24" s="15">
        <v>80000</v>
      </c>
      <c r="H24" s="15">
        <f t="shared" si="3"/>
        <v>135926.6983866209</v>
      </c>
      <c r="I24" s="15">
        <f t="shared" si="1"/>
        <v>-4545.2530505267896</v>
      </c>
    </row>
    <row r="25" spans="1:9" x14ac:dyDescent="0.2">
      <c r="A25" t="s">
        <v>8</v>
      </c>
      <c r="B25" s="16">
        <f>(H25/$H$27)*$B$19</f>
        <v>608.3343298904698</v>
      </c>
      <c r="C25" s="22">
        <v>2.5000000000000001E-3</v>
      </c>
      <c r="D25" s="14">
        <v>10</v>
      </c>
      <c r="E25" s="14">
        <v>5</v>
      </c>
      <c r="F25" s="23">
        <v>0.03</v>
      </c>
      <c r="G25" s="15">
        <v>20000</v>
      </c>
      <c r="H25" s="15">
        <f t="shared" si="3"/>
        <v>16229.837040199996</v>
      </c>
      <c r="I25" s="15">
        <f t="shared" si="1"/>
        <v>-3352.3589812558216</v>
      </c>
    </row>
    <row r="26" spans="1:9" x14ac:dyDescent="0.2">
      <c r="A26" t="s">
        <v>9</v>
      </c>
      <c r="B26" s="18">
        <f>(H26/$H$27)*$B$19</f>
        <v>608.3343298904698</v>
      </c>
      <c r="C26" s="22">
        <v>2.5000000000000001E-3</v>
      </c>
      <c r="D26" s="14">
        <v>10</v>
      </c>
      <c r="E26" s="14">
        <v>5</v>
      </c>
      <c r="F26" s="23">
        <v>0.03</v>
      </c>
      <c r="G26" s="24">
        <v>20000</v>
      </c>
      <c r="H26" s="24">
        <f t="shared" si="3"/>
        <v>16229.837040199996</v>
      </c>
      <c r="I26" s="24">
        <f t="shared" si="1"/>
        <v>-3352.3589812558216</v>
      </c>
    </row>
    <row r="27" spans="1:9" x14ac:dyDescent="0.2">
      <c r="B27" s="25">
        <f>SUM(B22:B26)</f>
        <v>136230.66999999998</v>
      </c>
      <c r="F27" s="23"/>
      <c r="G27" s="15">
        <f>SUM(G22:G26)</f>
        <v>2160000</v>
      </c>
      <c r="H27" s="15">
        <f>SUM(H22:H26)</f>
        <v>3634517.1813258533</v>
      </c>
      <c r="I27" s="15">
        <f>SUM(I22:I26)</f>
        <v>-127153.92380147155</v>
      </c>
    </row>
    <row r="28" spans="1:9" x14ac:dyDescent="0.2">
      <c r="F28" s="23"/>
      <c r="I28" s="26"/>
    </row>
  </sheetData>
  <printOptions gridLines="1"/>
  <pageMargins left="0.25" right="0.25" top="0.75" bottom="0.75" header="0.3" footer="0.3"/>
  <pageSetup scale="110" orientation="landscape" r:id="rId1"/>
  <headerFooter>
    <oddHeader>&amp;C&amp;"-,Bold"&amp;14Red Hawk Reserve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showGridLines="0" topLeftCell="A30" zoomScale="130" zoomScaleNormal="130" workbookViewId="0">
      <selection activeCell="D34" sqref="D34"/>
    </sheetView>
  </sheetViews>
  <sheetFormatPr baseColWidth="10" defaultColWidth="8.83203125" defaultRowHeight="15" outlineLevelRow="1" x14ac:dyDescent="0.2"/>
  <cols>
    <col min="1" max="1" width="2.6640625" style="2" customWidth="1"/>
    <col min="2" max="2" width="34.6640625" style="2" bestFit="1" customWidth="1"/>
    <col min="3" max="3" width="9.5" style="3" bestFit="1" customWidth="1"/>
    <col min="4" max="4" width="10.6640625" style="3" customWidth="1"/>
    <col min="5" max="12" width="11.6640625" style="4" customWidth="1"/>
    <col min="14" max="16384" width="8.83203125" style="2"/>
  </cols>
  <sheetData>
    <row r="1" spans="1:13" ht="19" x14ac:dyDescent="0.25">
      <c r="A1" s="1" t="s">
        <v>25</v>
      </c>
    </row>
    <row r="2" spans="1:13" ht="7" customHeight="1" x14ac:dyDescent="0.2"/>
    <row r="3" spans="1:13" x14ac:dyDescent="0.2">
      <c r="A3" s="37"/>
      <c r="B3" s="37"/>
      <c r="C3" s="38"/>
      <c r="D3" s="38"/>
      <c r="E3" s="39"/>
      <c r="F3" s="39"/>
      <c r="G3" s="39"/>
      <c r="H3" s="39"/>
      <c r="I3" s="39"/>
      <c r="J3" s="39"/>
      <c r="K3" s="39"/>
      <c r="L3" s="39"/>
      <c r="M3" s="40"/>
    </row>
    <row r="4" spans="1:13" ht="7" customHeight="1" x14ac:dyDescent="0.2"/>
    <row r="5" spans="1:13" ht="19" x14ac:dyDescent="0.25">
      <c r="A5" s="1" t="s">
        <v>52</v>
      </c>
    </row>
    <row r="6" spans="1:13" ht="7" customHeight="1" x14ac:dyDescent="0.2"/>
    <row r="7" spans="1:13" x14ac:dyDescent="0.2">
      <c r="B7" s="32" t="s">
        <v>28</v>
      </c>
      <c r="C7" s="33"/>
    </row>
    <row r="8" spans="1:13" x14ac:dyDescent="0.2">
      <c r="B8" s="10" t="s">
        <v>45</v>
      </c>
      <c r="C8" s="2">
        <v>2013</v>
      </c>
    </row>
    <row r="9" spans="1:13" x14ac:dyDescent="0.2">
      <c r="B9" s="10" t="s">
        <v>34</v>
      </c>
      <c r="C9" s="2">
        <v>2021</v>
      </c>
    </row>
    <row r="10" spans="1:13" x14ac:dyDescent="0.2">
      <c r="B10" s="10" t="s">
        <v>55</v>
      </c>
      <c r="C10" s="12">
        <v>1E-3</v>
      </c>
    </row>
    <row r="11" spans="1:13" x14ac:dyDescent="0.2">
      <c r="B11" s="10" t="s">
        <v>16</v>
      </c>
      <c r="C11" s="12">
        <v>0.03</v>
      </c>
    </row>
    <row r="12" spans="1:13" x14ac:dyDescent="0.2">
      <c r="B12" s="10" t="s">
        <v>42</v>
      </c>
      <c r="C12" s="3">
        <v>23</v>
      </c>
    </row>
    <row r="13" spans="1:13" x14ac:dyDescent="0.2">
      <c r="B13" s="10" t="s">
        <v>38</v>
      </c>
      <c r="C13" s="4">
        <f>50757.17+5</f>
        <v>50762.17</v>
      </c>
    </row>
    <row r="14" spans="1:13" ht="7" customHeight="1" x14ac:dyDescent="0.2"/>
    <row r="15" spans="1:13" x14ac:dyDescent="0.2">
      <c r="B15" s="32" t="s">
        <v>40</v>
      </c>
      <c r="C15" s="33"/>
    </row>
    <row r="16" spans="1:13" x14ac:dyDescent="0.2">
      <c r="B16" s="10" t="s">
        <v>41</v>
      </c>
      <c r="C16" s="27">
        <f>L29</f>
        <v>42509.444349463876</v>
      </c>
    </row>
    <row r="17" spans="1:13" x14ac:dyDescent="0.2">
      <c r="B17" s="10" t="s">
        <v>48</v>
      </c>
      <c r="C17" s="27">
        <f>C16/C12</f>
        <v>1848.2367108462554</v>
      </c>
    </row>
    <row r="18" spans="1:13" x14ac:dyDescent="0.2">
      <c r="B18" s="10" t="s">
        <v>54</v>
      </c>
      <c r="C18" s="27">
        <v>0</v>
      </c>
    </row>
    <row r="19" spans="1:13" x14ac:dyDescent="0.2">
      <c r="B19" s="31" t="s">
        <v>49</v>
      </c>
      <c r="C19" s="42">
        <f>C16-C18</f>
        <v>42509.444349463876</v>
      </c>
    </row>
    <row r="20" spans="1:13" ht="7" customHeight="1" x14ac:dyDescent="0.2"/>
    <row r="21" spans="1:13" x14ac:dyDescent="0.2">
      <c r="B21" s="34" t="s">
        <v>50</v>
      </c>
      <c r="C21" s="35"/>
      <c r="D21" s="33"/>
      <c r="E21" s="36"/>
      <c r="F21" s="36"/>
      <c r="G21" s="36"/>
      <c r="H21" s="36"/>
      <c r="I21" s="36"/>
      <c r="J21" s="36"/>
      <c r="K21" s="36"/>
      <c r="L21" s="36"/>
    </row>
    <row r="22" spans="1:13" ht="48" x14ac:dyDescent="0.2">
      <c r="B22" s="7" t="s">
        <v>27</v>
      </c>
      <c r="C22" s="8" t="s">
        <v>15</v>
      </c>
      <c r="D22" s="8" t="s">
        <v>1</v>
      </c>
      <c r="E22" s="9" t="s">
        <v>39</v>
      </c>
      <c r="F22" s="9" t="s">
        <v>46</v>
      </c>
      <c r="G22" s="9" t="s">
        <v>47</v>
      </c>
      <c r="H22" s="9" t="s">
        <v>37</v>
      </c>
      <c r="I22" s="9" t="s">
        <v>43</v>
      </c>
      <c r="J22" s="9" t="s">
        <v>44</v>
      </c>
      <c r="K22" s="9" t="s">
        <v>35</v>
      </c>
      <c r="L22" s="9" t="s">
        <v>36</v>
      </c>
    </row>
    <row r="23" spans="1:13" outlineLevel="1" x14ac:dyDescent="0.2">
      <c r="B23" s="2" t="s">
        <v>56</v>
      </c>
      <c r="C23" s="3">
        <v>25</v>
      </c>
      <c r="D23" s="3">
        <v>12</v>
      </c>
      <c r="E23" s="3">
        <f>C9+D23</f>
        <v>2033</v>
      </c>
      <c r="F23" s="4">
        <v>337920</v>
      </c>
      <c r="G23" s="4">
        <f>-FV($C$11,($C$9-$C$8),0,F23)</f>
        <v>428066.94590250315</v>
      </c>
      <c r="H23" s="11">
        <f>G23/$G$29</f>
        <v>0.89004098964448175</v>
      </c>
      <c r="I23" s="27">
        <f>$C$13*H23</f>
        <v>45180.412023301418</v>
      </c>
      <c r="J23" s="27">
        <f>-FV($C$10,D23,0,I23)</f>
        <v>45725.568836865277</v>
      </c>
      <c r="K23" s="27">
        <f>G23-J23</f>
        <v>382341.37706563785</v>
      </c>
      <c r="L23" s="27">
        <f>K23/D23</f>
        <v>31861.781422136486</v>
      </c>
    </row>
    <row r="24" spans="1:13" outlineLevel="1" x14ac:dyDescent="0.2">
      <c r="B24" s="2" t="s">
        <v>57</v>
      </c>
      <c r="E24" s="3"/>
      <c r="H24" s="11"/>
      <c r="I24" s="27"/>
      <c r="J24" s="27"/>
      <c r="K24" s="27"/>
      <c r="L24" s="27"/>
    </row>
    <row r="25" spans="1:13" outlineLevel="1" x14ac:dyDescent="0.2">
      <c r="E25" s="3"/>
      <c r="H25" s="11"/>
      <c r="I25" s="27"/>
      <c r="J25" s="27"/>
      <c r="K25" s="27"/>
      <c r="L25" s="27"/>
    </row>
    <row r="26" spans="1:13" outlineLevel="1" x14ac:dyDescent="0.2">
      <c r="E26" s="3"/>
      <c r="H26" s="11"/>
      <c r="I26" s="27"/>
      <c r="J26" s="27"/>
      <c r="K26" s="27"/>
      <c r="L26" s="27"/>
    </row>
    <row r="27" spans="1:13" outlineLevel="1" x14ac:dyDescent="0.2">
      <c r="B27" s="2" t="s">
        <v>4</v>
      </c>
      <c r="C27" s="3">
        <v>5</v>
      </c>
      <c r="D27" s="3">
        <v>5</v>
      </c>
      <c r="E27" s="3">
        <f>C9+D27</f>
        <v>2026</v>
      </c>
      <c r="F27" s="4">
        <v>32000</v>
      </c>
      <c r="G27" s="4">
        <v>42885</v>
      </c>
      <c r="H27" s="11">
        <f>G27/$G$29</f>
        <v>8.9166912339914917E-2</v>
      </c>
      <c r="I27" s="27">
        <f t="shared" ref="I27:I28" si="0">$C$13*H27</f>
        <v>4526.3059625738588</v>
      </c>
      <c r="J27" s="27">
        <f t="shared" ref="J27:J28" si="1">-FV($C$10,D27,0,I27)</f>
        <v>4548.9828007320466</v>
      </c>
      <c r="K27" s="27">
        <f>G27-J27</f>
        <v>38336.017199267953</v>
      </c>
      <c r="L27" s="27">
        <f>K27/D27</f>
        <v>7667.2034398535907</v>
      </c>
    </row>
    <row r="28" spans="1:13" outlineLevel="1" x14ac:dyDescent="0.2">
      <c r="B28" s="5" t="s">
        <v>26</v>
      </c>
      <c r="C28" s="41">
        <v>15</v>
      </c>
      <c r="D28" s="41">
        <v>3</v>
      </c>
      <c r="E28" s="41">
        <f>C9+D28</f>
        <v>2024</v>
      </c>
      <c r="F28" s="6">
        <v>5000</v>
      </c>
      <c r="G28" s="6">
        <v>10000</v>
      </c>
      <c r="H28" s="30">
        <f>G28/$G$29</f>
        <v>2.079209801560334E-2</v>
      </c>
      <c r="I28" s="6">
        <f t="shared" si="0"/>
        <v>1055.4520141247194</v>
      </c>
      <c r="J28" s="6">
        <f t="shared" si="1"/>
        <v>1058.6215375785875</v>
      </c>
      <c r="K28" s="6">
        <f>G28-J28</f>
        <v>8941.3784624214131</v>
      </c>
      <c r="L28" s="6">
        <f>K28/D28</f>
        <v>2980.4594874738045</v>
      </c>
    </row>
    <row r="29" spans="1:13" x14ac:dyDescent="0.2">
      <c r="E29" s="11"/>
      <c r="F29" s="28">
        <f t="shared" ref="F29:L29" si="2">SUM(F23:F28)</f>
        <v>374920</v>
      </c>
      <c r="G29" s="28">
        <f t="shared" si="2"/>
        <v>480951.94590250315</v>
      </c>
      <c r="H29" s="29">
        <f t="shared" si="2"/>
        <v>1</v>
      </c>
      <c r="I29" s="28">
        <f t="shared" si="2"/>
        <v>50762.17</v>
      </c>
      <c r="J29" s="28">
        <f t="shared" si="2"/>
        <v>51333.173175175914</v>
      </c>
      <c r="K29" s="28">
        <f t="shared" si="2"/>
        <v>429618.77272732725</v>
      </c>
      <c r="L29" s="28">
        <f t="shared" si="2"/>
        <v>42509.444349463876</v>
      </c>
    </row>
    <row r="30" spans="1:13" ht="7" customHeight="1" x14ac:dyDescent="0.2"/>
    <row r="31" spans="1:13" x14ac:dyDescent="0.2">
      <c r="A31" s="37"/>
      <c r="B31" s="37"/>
      <c r="C31" s="38"/>
      <c r="D31" s="38"/>
      <c r="E31" s="39"/>
      <c r="F31" s="39"/>
      <c r="G31" s="39"/>
      <c r="H31" s="39"/>
      <c r="I31" s="39"/>
      <c r="J31" s="39"/>
      <c r="K31" s="39"/>
      <c r="L31" s="39"/>
      <c r="M31" s="40"/>
    </row>
    <row r="32" spans="1:13" ht="19" x14ac:dyDescent="0.25">
      <c r="A32" s="1" t="s">
        <v>51</v>
      </c>
    </row>
    <row r="33" spans="2:3" ht="7" customHeight="1" x14ac:dyDescent="0.2"/>
    <row r="34" spans="2:3" x14ac:dyDescent="0.2">
      <c r="B34" s="43" t="s">
        <v>58</v>
      </c>
    </row>
    <row r="35" spans="2:3" x14ac:dyDescent="0.2">
      <c r="B35" s="43"/>
    </row>
    <row r="36" spans="2:3" x14ac:dyDescent="0.2">
      <c r="B36" s="32" t="s">
        <v>28</v>
      </c>
      <c r="C36" s="33"/>
    </row>
    <row r="37" spans="2:3" x14ac:dyDescent="0.2">
      <c r="B37" s="10" t="s">
        <v>45</v>
      </c>
      <c r="C37" s="2">
        <v>2013</v>
      </c>
    </row>
    <row r="38" spans="2:3" x14ac:dyDescent="0.2">
      <c r="B38" s="10" t="s">
        <v>34</v>
      </c>
      <c r="C38" s="2">
        <v>2021</v>
      </c>
    </row>
    <row r="39" spans="2:3" x14ac:dyDescent="0.2">
      <c r="B39" s="10" t="s">
        <v>55</v>
      </c>
      <c r="C39" s="12">
        <v>1E-3</v>
      </c>
    </row>
    <row r="40" spans="2:3" x14ac:dyDescent="0.2">
      <c r="B40" s="10" t="s">
        <v>16</v>
      </c>
      <c r="C40" s="12">
        <v>0.03</v>
      </c>
    </row>
    <row r="41" spans="2:3" x14ac:dyDescent="0.2">
      <c r="B41" s="10" t="s">
        <v>53</v>
      </c>
      <c r="C41" s="3">
        <v>21</v>
      </c>
    </row>
    <row r="42" spans="2:3" x14ac:dyDescent="0.2">
      <c r="B42" s="10" t="s">
        <v>38</v>
      </c>
      <c r="C42" s="4">
        <v>84765.34</v>
      </c>
    </row>
    <row r="43" spans="2:3" ht="7" customHeight="1" x14ac:dyDescent="0.2"/>
    <row r="44" spans="2:3" x14ac:dyDescent="0.2">
      <c r="B44" s="32" t="s">
        <v>40</v>
      </c>
      <c r="C44" s="33"/>
    </row>
    <row r="45" spans="2:3" x14ac:dyDescent="0.2">
      <c r="B45" s="10" t="s">
        <v>41</v>
      </c>
      <c r="C45" s="27">
        <f>L57</f>
        <v>146253.78428982061</v>
      </c>
    </row>
    <row r="46" spans="2:3" x14ac:dyDescent="0.2">
      <c r="B46" s="10" t="s">
        <v>48</v>
      </c>
      <c r="C46" s="27">
        <f>C45/C41</f>
        <v>6964.4659185628861</v>
      </c>
    </row>
    <row r="47" spans="2:3" x14ac:dyDescent="0.2">
      <c r="B47" s="10" t="s">
        <v>54</v>
      </c>
      <c r="C47" s="27">
        <v>13831</v>
      </c>
    </row>
    <row r="48" spans="2:3" x14ac:dyDescent="0.2">
      <c r="B48" s="31" t="s">
        <v>49</v>
      </c>
      <c r="C48" s="42">
        <f>C45-C47</f>
        <v>132422.78428982061</v>
      </c>
    </row>
    <row r="49" spans="2:12" ht="7" customHeight="1" x14ac:dyDescent="0.2"/>
    <row r="50" spans="2:12" x14ac:dyDescent="0.2">
      <c r="B50" s="34" t="s">
        <v>50</v>
      </c>
      <c r="C50" s="35"/>
      <c r="D50" s="33"/>
      <c r="E50" s="36"/>
      <c r="F50" s="36"/>
      <c r="G50" s="36"/>
      <c r="H50" s="36"/>
      <c r="I50" s="36"/>
      <c r="J50" s="36"/>
      <c r="K50" s="36"/>
      <c r="L50" s="36"/>
    </row>
    <row r="51" spans="2:12" ht="48" x14ac:dyDescent="0.2">
      <c r="B51" s="7" t="s">
        <v>27</v>
      </c>
      <c r="C51" s="8" t="s">
        <v>15</v>
      </c>
      <c r="D51" s="8" t="s">
        <v>1</v>
      </c>
      <c r="E51" s="9" t="s">
        <v>39</v>
      </c>
      <c r="F51" s="9" t="s">
        <v>46</v>
      </c>
      <c r="G51" s="9" t="s">
        <v>47</v>
      </c>
      <c r="H51" s="9" t="s">
        <v>37</v>
      </c>
      <c r="I51" s="9" t="s">
        <v>43</v>
      </c>
      <c r="J51" s="9" t="s">
        <v>44</v>
      </c>
      <c r="K51" s="9" t="s">
        <v>35</v>
      </c>
      <c r="L51" s="9" t="s">
        <v>36</v>
      </c>
    </row>
    <row r="52" spans="2:12" outlineLevel="1" x14ac:dyDescent="0.2">
      <c r="B52" s="2" t="s">
        <v>5</v>
      </c>
      <c r="C52" s="3">
        <v>50</v>
      </c>
      <c r="D52" s="3">
        <f>30-($C$38-$C$37)</f>
        <v>22</v>
      </c>
      <c r="E52" s="3">
        <f>$C$38+D52</f>
        <v>2043</v>
      </c>
      <c r="F52" s="4">
        <v>1850000</v>
      </c>
      <c r="G52" s="4">
        <f>-FV($C$40,($C$38-$C$37),0,F52)</f>
        <v>2343524.6505670897</v>
      </c>
      <c r="H52" s="11">
        <f>G52/$G$57</f>
        <v>0.74756396669488112</v>
      </c>
      <c r="I52" s="4">
        <f>$C$42*H52</f>
        <v>63367.513808640273</v>
      </c>
      <c r="J52" s="27">
        <f>-FV(($C$39/12),D52,0,I52)</f>
        <v>63483.789292505309</v>
      </c>
      <c r="K52" s="27">
        <f>G52-J52</f>
        <v>2280040.8612745842</v>
      </c>
      <c r="L52" s="27">
        <f>K52/D52</f>
        <v>103638.22096702656</v>
      </c>
    </row>
    <row r="53" spans="2:12" outlineLevel="1" x14ac:dyDescent="0.2">
      <c r="B53" s="2" t="s">
        <v>7</v>
      </c>
      <c r="C53" s="3">
        <v>50</v>
      </c>
      <c r="D53" s="3">
        <f t="shared" ref="D53:D54" si="3">30-($C$38-$C$37)</f>
        <v>22</v>
      </c>
      <c r="E53" s="3">
        <f>$C$38+D53</f>
        <v>2043</v>
      </c>
      <c r="F53" s="4">
        <v>80000</v>
      </c>
      <c r="G53" s="4">
        <v>500000</v>
      </c>
      <c r="H53" s="11">
        <f>G53/$G$57</f>
        <v>0.15949564825656612</v>
      </c>
      <c r="I53" s="4">
        <f>$C$42*H53</f>
        <v>13519.702852988234</v>
      </c>
      <c r="J53" s="27">
        <f>-FV(($C$39/12),D53,0,I53)</f>
        <v>13544.510674795634</v>
      </c>
      <c r="K53" s="27">
        <f>G53-J53</f>
        <v>486455.48932520434</v>
      </c>
      <c r="L53" s="27">
        <f>K53/D53</f>
        <v>22111.613151145651</v>
      </c>
    </row>
    <row r="54" spans="2:12" outlineLevel="1" x14ac:dyDescent="0.2">
      <c r="B54" s="2" t="s">
        <v>6</v>
      </c>
      <c r="C54" s="3">
        <v>50</v>
      </c>
      <c r="D54" s="3">
        <f t="shared" si="3"/>
        <v>22</v>
      </c>
      <c r="E54" s="3">
        <f t="shared" ref="E54:E56" si="4">$C$38+D54</f>
        <v>2043</v>
      </c>
      <c r="F54" s="4">
        <v>190000</v>
      </c>
      <c r="G54" s="4">
        <f t="shared" ref="G54:G56" si="5">-FV($C$40,($C$38-$C$37),0,F54)</f>
        <v>240686.31546364701</v>
      </c>
      <c r="H54" s="11">
        <f>G54/$G$57</f>
        <v>7.6776839822717505E-2</v>
      </c>
      <c r="I54" s="4">
        <f t="shared" ref="I54:I56" si="6">$C$42*H54</f>
        <v>6508.0149316981888</v>
      </c>
      <c r="J54" s="27">
        <f t="shared" ref="J54:J56" si="7">-FV(($C$39/12),D54,0,I54)</f>
        <v>6519.9567381491925</v>
      </c>
      <c r="K54" s="27">
        <f>G54-J54</f>
        <v>234166.35872549782</v>
      </c>
      <c r="L54" s="27">
        <f>K54/D54</f>
        <v>10643.925396613537</v>
      </c>
    </row>
    <row r="55" spans="2:12" outlineLevel="1" x14ac:dyDescent="0.2">
      <c r="B55" s="2" t="s">
        <v>8</v>
      </c>
      <c r="C55" s="3">
        <v>10</v>
      </c>
      <c r="D55" s="3">
        <v>5</v>
      </c>
      <c r="E55" s="3">
        <f t="shared" si="4"/>
        <v>2026</v>
      </c>
      <c r="F55" s="4">
        <v>20000</v>
      </c>
      <c r="G55" s="4">
        <f t="shared" si="5"/>
        <v>25335.401627752319</v>
      </c>
      <c r="H55" s="11">
        <f>G55/$G$57</f>
        <v>8.0817726129176325E-3</v>
      </c>
      <c r="I55" s="4">
        <f t="shared" si="6"/>
        <v>685.05420333665154</v>
      </c>
      <c r="J55" s="27">
        <f t="shared" si="7"/>
        <v>685.33969016521519</v>
      </c>
      <c r="K55" s="27">
        <f>G55-J55</f>
        <v>24650.061937587103</v>
      </c>
      <c r="L55" s="27">
        <f>K55/D55</f>
        <v>4930.0123875174204</v>
      </c>
    </row>
    <row r="56" spans="2:12" outlineLevel="1" x14ac:dyDescent="0.2">
      <c r="B56" s="5" t="s">
        <v>9</v>
      </c>
      <c r="C56" s="41">
        <v>10</v>
      </c>
      <c r="D56" s="41">
        <v>5</v>
      </c>
      <c r="E56" s="41">
        <f t="shared" si="4"/>
        <v>2026</v>
      </c>
      <c r="F56" s="6">
        <v>20000</v>
      </c>
      <c r="G56" s="6">
        <f t="shared" si="5"/>
        <v>25335.401627752319</v>
      </c>
      <c r="H56" s="30">
        <f>G56/$G$57</f>
        <v>8.0817726129176325E-3</v>
      </c>
      <c r="I56" s="6">
        <f t="shared" si="6"/>
        <v>685.05420333665154</v>
      </c>
      <c r="J56" s="6">
        <f t="shared" si="7"/>
        <v>685.33969016521519</v>
      </c>
      <c r="K56" s="6">
        <f>G56-J56</f>
        <v>24650.061937587103</v>
      </c>
      <c r="L56" s="6">
        <f>K56/D56</f>
        <v>4930.0123875174204</v>
      </c>
    </row>
    <row r="57" spans="2:12" x14ac:dyDescent="0.2">
      <c r="F57" s="28">
        <f t="shared" ref="F57:L57" si="8">SUM(F52:F56)</f>
        <v>2160000</v>
      </c>
      <c r="G57" s="28">
        <f t="shared" si="8"/>
        <v>3134881.7692862414</v>
      </c>
      <c r="H57" s="29">
        <f t="shared" si="8"/>
        <v>1</v>
      </c>
      <c r="I57" s="28">
        <f t="shared" si="8"/>
        <v>84765.34</v>
      </c>
      <c r="J57" s="28">
        <f t="shared" si="8"/>
        <v>84918.936085780573</v>
      </c>
      <c r="K57" s="28">
        <f t="shared" si="8"/>
        <v>3049962.8332004612</v>
      </c>
      <c r="L57" s="28">
        <f t="shared" si="8"/>
        <v>146253.78428982061</v>
      </c>
    </row>
  </sheetData>
  <printOptions gridLines="1"/>
  <pageMargins left="0.25" right="0.25" top="0.75" bottom="0.75" header="0.3" footer="0.3"/>
  <pageSetup scale="110" orientation="landscape" r:id="rId1"/>
  <headerFooter>
    <oddHeader>&amp;C&amp;"-,Bold"&amp;14Red Hawk Reserve Study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173C-7C25-9947-BFAB-500829D9635A}">
  <dimension ref="A1:M56"/>
  <sheetViews>
    <sheetView showGridLines="0" zoomScale="106" zoomScaleNormal="100" workbookViewId="0">
      <selection activeCell="P17" sqref="P17"/>
    </sheetView>
  </sheetViews>
  <sheetFormatPr baseColWidth="10" defaultColWidth="8.83203125" defaultRowHeight="15" outlineLevelRow="1" x14ac:dyDescent="0.2"/>
  <cols>
    <col min="1" max="1" width="2.6640625" style="2" customWidth="1"/>
    <col min="2" max="2" width="34.6640625" style="2" bestFit="1" customWidth="1"/>
    <col min="3" max="3" width="9.5" style="3" bestFit="1" customWidth="1"/>
    <col min="4" max="4" width="9.5" style="3" customWidth="1"/>
    <col min="5" max="5" width="10.6640625" style="3" customWidth="1"/>
    <col min="6" max="12" width="11.6640625" style="4" customWidth="1"/>
    <col min="14" max="16384" width="8.83203125" style="2"/>
  </cols>
  <sheetData>
    <row r="1" spans="1:13" ht="19" x14ac:dyDescent="0.25">
      <c r="A1" s="1" t="s">
        <v>59</v>
      </c>
    </row>
    <row r="2" spans="1:13" ht="7" customHeight="1" x14ac:dyDescent="0.2"/>
    <row r="3" spans="1:13" x14ac:dyDescent="0.2">
      <c r="A3" s="37"/>
      <c r="B3" s="37"/>
      <c r="C3" s="38"/>
      <c r="D3" s="38"/>
      <c r="E3" s="38"/>
      <c r="F3" s="39"/>
      <c r="G3" s="39"/>
      <c r="H3" s="39"/>
      <c r="I3" s="39"/>
      <c r="J3" s="39"/>
      <c r="K3" s="39"/>
      <c r="L3" s="39"/>
      <c r="M3" s="40"/>
    </row>
    <row r="4" spans="1:13" ht="7" customHeight="1" x14ac:dyDescent="0.2"/>
    <row r="5" spans="1:13" ht="19" x14ac:dyDescent="0.25">
      <c r="A5" s="1" t="s">
        <v>52</v>
      </c>
    </row>
    <row r="6" spans="1:13" ht="7" customHeight="1" x14ac:dyDescent="0.2"/>
    <row r="7" spans="1:13" x14ac:dyDescent="0.2">
      <c r="B7" s="32" t="s">
        <v>28</v>
      </c>
      <c r="C7" s="33"/>
      <c r="D7" s="33"/>
    </row>
    <row r="8" spans="1:13" x14ac:dyDescent="0.2">
      <c r="B8" s="10" t="s">
        <v>45</v>
      </c>
      <c r="C8" s="2">
        <v>2021</v>
      </c>
      <c r="D8" s="2"/>
    </row>
    <row r="9" spans="1:13" x14ac:dyDescent="0.2">
      <c r="B9" s="10" t="s">
        <v>34</v>
      </c>
      <c r="C9" s="2">
        <v>2022</v>
      </c>
      <c r="D9" s="2"/>
    </row>
    <row r="10" spans="1:13" x14ac:dyDescent="0.2">
      <c r="B10" s="10" t="s">
        <v>55</v>
      </c>
      <c r="C10" s="12">
        <v>1E-3</v>
      </c>
      <c r="D10" s="12"/>
    </row>
    <row r="11" spans="1:13" x14ac:dyDescent="0.2">
      <c r="B11" s="10" t="s">
        <v>16</v>
      </c>
      <c r="C11" s="12">
        <v>0.05</v>
      </c>
      <c r="D11" s="12"/>
    </row>
    <row r="12" spans="1:13" x14ac:dyDescent="0.2">
      <c r="B12" s="10" t="s">
        <v>42</v>
      </c>
      <c r="C12" s="3">
        <v>23</v>
      </c>
    </row>
    <row r="13" spans="1:13" x14ac:dyDescent="0.2">
      <c r="B13" s="10" t="s">
        <v>60</v>
      </c>
      <c r="C13" s="4">
        <v>50808</v>
      </c>
      <c r="D13" s="4"/>
    </row>
    <row r="14" spans="1:13" ht="7" customHeight="1" x14ac:dyDescent="0.2"/>
    <row r="15" spans="1:13" x14ac:dyDescent="0.2">
      <c r="B15" s="32" t="s">
        <v>40</v>
      </c>
      <c r="C15" s="33"/>
      <c r="D15" s="33"/>
    </row>
    <row r="16" spans="1:13" x14ac:dyDescent="0.2">
      <c r="B16" s="10" t="s">
        <v>41</v>
      </c>
      <c r="C16" s="27">
        <f>L27</f>
        <v>68547.599033040751</v>
      </c>
      <c r="D16" s="27"/>
    </row>
    <row r="17" spans="1:13" x14ac:dyDescent="0.2">
      <c r="B17" s="10" t="s">
        <v>48</v>
      </c>
      <c r="C17" s="27">
        <f>C16/C12</f>
        <v>2980.3303927409024</v>
      </c>
      <c r="D17" s="27"/>
    </row>
    <row r="18" spans="1:13" x14ac:dyDescent="0.2">
      <c r="B18" s="10" t="s">
        <v>63</v>
      </c>
      <c r="C18" s="27">
        <v>13215</v>
      </c>
      <c r="D18" s="2"/>
    </row>
    <row r="19" spans="1:13" x14ac:dyDescent="0.2">
      <c r="B19" s="10" t="s">
        <v>64</v>
      </c>
      <c r="C19" s="44">
        <f>C18/C16</f>
        <v>0.19278574576521951</v>
      </c>
      <c r="D19" s="44"/>
    </row>
    <row r="20" spans="1:13" x14ac:dyDescent="0.2">
      <c r="B20" s="31" t="s">
        <v>49</v>
      </c>
      <c r="C20" s="42">
        <f>C16-C18</f>
        <v>55332.599033040751</v>
      </c>
      <c r="D20" s="27"/>
    </row>
    <row r="21" spans="1:13" ht="7" customHeight="1" x14ac:dyDescent="0.2"/>
    <row r="22" spans="1:13" x14ac:dyDescent="0.2">
      <c r="B22" s="34" t="s">
        <v>50</v>
      </c>
      <c r="C22" s="35"/>
      <c r="D22" s="35"/>
      <c r="E22" s="33"/>
      <c r="F22" s="36"/>
      <c r="G22" s="36"/>
      <c r="H22" s="36"/>
      <c r="I22" s="36"/>
      <c r="J22" s="36"/>
      <c r="K22" s="36"/>
      <c r="L22" s="36"/>
    </row>
    <row r="23" spans="1:13" ht="48" x14ac:dyDescent="0.2">
      <c r="B23" s="7" t="s">
        <v>27</v>
      </c>
      <c r="C23" s="8" t="s">
        <v>15</v>
      </c>
      <c r="D23" s="8" t="s">
        <v>62</v>
      </c>
      <c r="E23" s="8" t="s">
        <v>1</v>
      </c>
      <c r="F23" s="9" t="s">
        <v>39</v>
      </c>
      <c r="G23" s="9" t="s">
        <v>47</v>
      </c>
      <c r="H23" s="9" t="s">
        <v>37</v>
      </c>
      <c r="I23" s="9" t="s">
        <v>43</v>
      </c>
      <c r="J23" s="9" t="s">
        <v>44</v>
      </c>
      <c r="K23" s="9" t="s">
        <v>35</v>
      </c>
      <c r="L23" s="9" t="s">
        <v>36</v>
      </c>
    </row>
    <row r="24" spans="1:13" outlineLevel="1" x14ac:dyDescent="0.2">
      <c r="B24" s="2" t="s">
        <v>61</v>
      </c>
      <c r="C24" s="3">
        <v>25</v>
      </c>
      <c r="D24" s="3">
        <v>2009</v>
      </c>
      <c r="E24" s="3">
        <f>F24-$C$9</f>
        <v>12</v>
      </c>
      <c r="F24" s="3">
        <f>C24+D24</f>
        <v>2034</v>
      </c>
      <c r="G24" s="4">
        <f>477860+177410</f>
        <v>655270</v>
      </c>
      <c r="H24" s="11">
        <f>G24/$G$27</f>
        <v>0.92532002174665151</v>
      </c>
      <c r="I24" s="27">
        <f>$C$13*H24</f>
        <v>47013.659664903869</v>
      </c>
      <c r="J24" s="27">
        <f>-FV($C$10,E24,0,I24)</f>
        <v>47580.936848734687</v>
      </c>
      <c r="K24" s="27">
        <f>G24-J24</f>
        <v>607689.06315126526</v>
      </c>
      <c r="L24" s="27">
        <f>K24/E24</f>
        <v>50640.755262605438</v>
      </c>
    </row>
    <row r="25" spans="1:13" outlineLevel="1" x14ac:dyDescent="0.2">
      <c r="B25" s="2" t="s">
        <v>4</v>
      </c>
      <c r="C25" s="3">
        <v>5</v>
      </c>
      <c r="D25" s="3">
        <v>2020</v>
      </c>
      <c r="E25" s="3">
        <f t="shared" ref="E25:E26" si="0">F25-$C$9</f>
        <v>3</v>
      </c>
      <c r="F25" s="3">
        <f>C25+D25</f>
        <v>2025</v>
      </c>
      <c r="G25" s="4">
        <v>42885</v>
      </c>
      <c r="H25" s="11">
        <f>G25/$G$27</f>
        <v>6.0558775974186442E-2</v>
      </c>
      <c r="I25" s="27">
        <f t="shared" ref="I25:I26" si="1">$C$13*H25</f>
        <v>3076.8702896964646</v>
      </c>
      <c r="J25" s="27">
        <f>-FV($C$10,E25,0,I25)</f>
        <v>3086.110134253292</v>
      </c>
      <c r="K25" s="27">
        <f>G25-J25</f>
        <v>39798.889865746707</v>
      </c>
      <c r="L25" s="27">
        <f>K25/E25</f>
        <v>13266.29662191557</v>
      </c>
    </row>
    <row r="26" spans="1:13" outlineLevel="1" x14ac:dyDescent="0.2">
      <c r="B26" s="5" t="s">
        <v>26</v>
      </c>
      <c r="C26" s="41">
        <v>15</v>
      </c>
      <c r="D26" s="41">
        <v>2009</v>
      </c>
      <c r="E26" s="41">
        <f t="shared" si="0"/>
        <v>2</v>
      </c>
      <c r="F26" s="41">
        <f>C26+D26</f>
        <v>2024</v>
      </c>
      <c r="G26" s="6">
        <v>10000</v>
      </c>
      <c r="H26" s="30">
        <f>G26/$G$27</f>
        <v>1.4121202279162047E-2</v>
      </c>
      <c r="I26" s="6">
        <f t="shared" si="1"/>
        <v>717.47004539966531</v>
      </c>
      <c r="J26" s="6">
        <f>-FV($C$10,E26,0,I26)</f>
        <v>718.90570296050987</v>
      </c>
      <c r="K26" s="6">
        <f>G26-J26</f>
        <v>9281.0942970394899</v>
      </c>
      <c r="L26" s="6">
        <f>K26/E26</f>
        <v>4640.547148519745</v>
      </c>
    </row>
    <row r="27" spans="1:13" x14ac:dyDescent="0.2">
      <c r="F27" s="11"/>
      <c r="G27" s="28">
        <f t="shared" ref="G27:L27" si="2">SUM(G24:G26)</f>
        <v>708155</v>
      </c>
      <c r="H27" s="29">
        <f t="shared" si="2"/>
        <v>1</v>
      </c>
      <c r="I27" s="28">
        <f t="shared" si="2"/>
        <v>50808</v>
      </c>
      <c r="J27" s="28">
        <f t="shared" si="2"/>
        <v>51385.95268594849</v>
      </c>
      <c r="K27" s="28">
        <f t="shared" si="2"/>
        <v>656769.04731405142</v>
      </c>
      <c r="L27" s="28">
        <f t="shared" si="2"/>
        <v>68547.599033040751</v>
      </c>
    </row>
    <row r="28" spans="1:13" ht="7" customHeight="1" x14ac:dyDescent="0.2"/>
    <row r="29" spans="1:13" x14ac:dyDescent="0.2">
      <c r="A29" s="37"/>
      <c r="B29" s="37"/>
      <c r="C29" s="38"/>
      <c r="D29" s="38"/>
      <c r="E29" s="38"/>
      <c r="F29" s="39"/>
      <c r="G29" s="39"/>
      <c r="H29" s="39"/>
      <c r="I29" s="39"/>
      <c r="J29" s="39"/>
      <c r="K29" s="39"/>
      <c r="L29" s="39"/>
      <c r="M29" s="40"/>
    </row>
    <row r="30" spans="1:13" ht="19" x14ac:dyDescent="0.25">
      <c r="A30" s="1" t="s">
        <v>51</v>
      </c>
    </row>
    <row r="31" spans="1:13" s="3" customFormat="1" ht="7" customHeight="1" x14ac:dyDescent="0.2">
      <c r="A31" s="2"/>
      <c r="B31" s="2"/>
      <c r="F31" s="4"/>
      <c r="G31" s="4"/>
      <c r="H31" s="4"/>
      <c r="I31" s="4"/>
      <c r="J31" s="4"/>
      <c r="K31" s="4"/>
      <c r="L31" s="4"/>
      <c r="M31"/>
    </row>
    <row r="32" spans="1:13" s="3" customFormat="1" x14ac:dyDescent="0.2">
      <c r="A32" s="2"/>
      <c r="B32" s="43" t="s">
        <v>58</v>
      </c>
      <c r="F32" s="4"/>
      <c r="G32" s="4"/>
      <c r="H32" s="4"/>
      <c r="I32" s="4"/>
      <c r="J32" s="4"/>
      <c r="K32" s="4"/>
      <c r="L32" s="4"/>
      <c r="M32"/>
    </row>
    <row r="33" spans="1:13" s="3" customFormat="1" x14ac:dyDescent="0.2">
      <c r="A33" s="2"/>
      <c r="B33" s="43"/>
      <c r="F33" s="4"/>
      <c r="G33" s="4"/>
      <c r="H33" s="4"/>
      <c r="I33" s="4"/>
      <c r="J33" s="4"/>
      <c r="K33" s="4"/>
      <c r="L33" s="4"/>
      <c r="M33"/>
    </row>
    <row r="34" spans="1:13" s="3" customFormat="1" x14ac:dyDescent="0.2">
      <c r="A34" s="2"/>
      <c r="B34" s="32" t="s">
        <v>28</v>
      </c>
      <c r="C34" s="33"/>
      <c r="D34" s="33"/>
      <c r="F34" s="4"/>
      <c r="G34" s="4"/>
      <c r="H34" s="4"/>
      <c r="I34" s="4"/>
      <c r="J34" s="4"/>
      <c r="K34" s="4"/>
      <c r="L34" s="4"/>
      <c r="M34"/>
    </row>
    <row r="35" spans="1:13" s="3" customFormat="1" x14ac:dyDescent="0.2">
      <c r="A35" s="2"/>
      <c r="B35" s="10" t="s">
        <v>45</v>
      </c>
      <c r="C35" s="2">
        <v>2021</v>
      </c>
      <c r="D35" s="2"/>
      <c r="F35" s="4"/>
      <c r="G35" s="4"/>
      <c r="H35" s="4"/>
      <c r="I35" s="4"/>
      <c r="J35" s="4"/>
      <c r="K35" s="4"/>
      <c r="L35" s="4"/>
      <c r="M35"/>
    </row>
    <row r="36" spans="1:13" s="3" customFormat="1" x14ac:dyDescent="0.2">
      <c r="A36" s="2"/>
      <c r="B36" s="10" t="s">
        <v>34</v>
      </c>
      <c r="C36" s="2">
        <v>2022</v>
      </c>
      <c r="D36" s="2"/>
      <c r="F36" s="4"/>
      <c r="G36" s="4"/>
      <c r="H36" s="4"/>
      <c r="I36" s="4"/>
      <c r="J36" s="4"/>
      <c r="K36" s="4"/>
      <c r="L36" s="4"/>
      <c r="M36"/>
    </row>
    <row r="37" spans="1:13" s="3" customFormat="1" x14ac:dyDescent="0.2">
      <c r="A37" s="2"/>
      <c r="B37" s="10" t="s">
        <v>55</v>
      </c>
      <c r="C37" s="12">
        <v>1E-3</v>
      </c>
      <c r="D37" s="12"/>
      <c r="F37" s="4"/>
      <c r="G37" s="4"/>
      <c r="H37" s="4"/>
      <c r="I37" s="4"/>
      <c r="J37" s="4"/>
      <c r="K37" s="4"/>
      <c r="L37" s="4"/>
      <c r="M37"/>
    </row>
    <row r="38" spans="1:13" s="3" customFormat="1" x14ac:dyDescent="0.2">
      <c r="A38" s="2"/>
      <c r="B38" s="10" t="s">
        <v>16</v>
      </c>
      <c r="C38" s="12">
        <v>0.05</v>
      </c>
      <c r="D38" s="12"/>
      <c r="F38" s="4"/>
      <c r="G38" s="4"/>
      <c r="H38" s="4"/>
      <c r="I38" s="4"/>
      <c r="J38" s="4"/>
      <c r="K38" s="4"/>
      <c r="L38" s="4"/>
      <c r="M38"/>
    </row>
    <row r="39" spans="1:13" s="3" customFormat="1" x14ac:dyDescent="0.2">
      <c r="A39" s="2"/>
      <c r="B39" s="10" t="s">
        <v>53</v>
      </c>
      <c r="C39" s="3">
        <v>21</v>
      </c>
      <c r="F39" s="4"/>
      <c r="G39" s="4"/>
      <c r="H39" s="4"/>
      <c r="I39" s="4"/>
      <c r="J39" s="4"/>
      <c r="K39" s="4"/>
      <c r="L39" s="4"/>
      <c r="M39"/>
    </row>
    <row r="40" spans="1:13" s="3" customFormat="1" x14ac:dyDescent="0.2">
      <c r="A40" s="2"/>
      <c r="B40" s="10" t="s">
        <v>60</v>
      </c>
      <c r="C40" s="4">
        <v>79012</v>
      </c>
      <c r="D40" s="4"/>
      <c r="F40" s="4"/>
      <c r="G40" s="4"/>
      <c r="H40" s="4"/>
      <c r="I40" s="4"/>
      <c r="J40" s="4"/>
      <c r="K40" s="4"/>
      <c r="L40" s="4"/>
      <c r="M40"/>
    </row>
    <row r="41" spans="1:13" s="3" customFormat="1" ht="7" customHeight="1" x14ac:dyDescent="0.2">
      <c r="A41" s="2"/>
      <c r="B41" s="2"/>
      <c r="F41" s="4"/>
      <c r="G41" s="4"/>
      <c r="H41" s="4"/>
      <c r="I41" s="4"/>
      <c r="J41" s="4"/>
      <c r="K41" s="4"/>
      <c r="L41" s="4"/>
      <c r="M41"/>
    </row>
    <row r="42" spans="1:13" s="3" customFormat="1" x14ac:dyDescent="0.2">
      <c r="A42" s="2"/>
      <c r="B42" s="32" t="s">
        <v>40</v>
      </c>
      <c r="C42" s="33"/>
      <c r="D42" s="33"/>
      <c r="F42" s="4"/>
      <c r="G42" s="4"/>
      <c r="H42" s="4"/>
      <c r="I42" s="4"/>
      <c r="J42" s="4"/>
      <c r="K42" s="4"/>
      <c r="L42" s="4"/>
      <c r="M42"/>
    </row>
    <row r="43" spans="1:13" s="3" customFormat="1" x14ac:dyDescent="0.2">
      <c r="A43" s="2"/>
      <c r="B43" s="10" t="s">
        <v>41</v>
      </c>
      <c r="C43" s="27">
        <f>L56</f>
        <v>179368.28226039757</v>
      </c>
      <c r="D43" s="27"/>
      <c r="F43" s="4"/>
      <c r="G43" s="4"/>
      <c r="H43" s="4"/>
      <c r="I43" s="4"/>
      <c r="J43" s="4"/>
      <c r="K43" s="4"/>
      <c r="L43" s="4"/>
      <c r="M43"/>
    </row>
    <row r="44" spans="1:13" s="3" customFormat="1" x14ac:dyDescent="0.2">
      <c r="A44" s="2"/>
      <c r="B44" s="10" t="s">
        <v>48</v>
      </c>
      <c r="C44" s="27">
        <f>C43/C39</f>
        <v>8541.3467743046458</v>
      </c>
      <c r="D44" s="27"/>
      <c r="F44" s="4"/>
      <c r="G44" s="4"/>
      <c r="H44" s="4"/>
      <c r="I44" s="4"/>
      <c r="J44" s="4"/>
      <c r="K44" s="4"/>
      <c r="L44" s="4"/>
      <c r="M44"/>
    </row>
    <row r="45" spans="1:13" s="3" customFormat="1" x14ac:dyDescent="0.2">
      <c r="A45" s="2"/>
      <c r="B45" s="10" t="s">
        <v>63</v>
      </c>
      <c r="C45" s="27">
        <v>16367</v>
      </c>
      <c r="F45" s="4"/>
      <c r="G45" s="4"/>
      <c r="H45" s="4"/>
      <c r="I45" s="4"/>
      <c r="J45" s="4"/>
      <c r="K45" s="4"/>
      <c r="L45" s="4"/>
      <c r="M45"/>
    </row>
    <row r="46" spans="1:13" s="3" customFormat="1" x14ac:dyDescent="0.2">
      <c r="A46" s="2"/>
      <c r="B46" s="10" t="s">
        <v>64</v>
      </c>
      <c r="C46" s="44">
        <f>C45/C43</f>
        <v>9.1248016615553235E-2</v>
      </c>
      <c r="D46" s="44"/>
      <c r="F46" s="4"/>
      <c r="G46" s="4"/>
      <c r="H46" s="4"/>
      <c r="I46" s="4"/>
      <c r="J46" s="4"/>
      <c r="K46" s="4"/>
      <c r="L46" s="4"/>
      <c r="M46"/>
    </row>
    <row r="47" spans="1:13" s="3" customFormat="1" x14ac:dyDescent="0.2">
      <c r="A47" s="2"/>
      <c r="B47" s="31" t="s">
        <v>49</v>
      </c>
      <c r="C47" s="42">
        <f>C43-C45</f>
        <v>163001.28226039757</v>
      </c>
      <c r="D47" s="27"/>
      <c r="F47" s="4"/>
      <c r="G47" s="4"/>
      <c r="H47" s="4"/>
      <c r="I47" s="4"/>
      <c r="J47" s="4"/>
      <c r="K47" s="4"/>
      <c r="L47" s="4"/>
      <c r="M47"/>
    </row>
    <row r="48" spans="1:13" customFormat="1" ht="7" customHeight="1" x14ac:dyDescent="0.2">
      <c r="A48" s="2"/>
      <c r="B48" s="2"/>
      <c r="C48" s="3"/>
      <c r="D48" s="3"/>
      <c r="E48" s="3"/>
      <c r="F48" s="4"/>
      <c r="G48" s="4"/>
      <c r="H48" s="4"/>
      <c r="I48" s="4"/>
      <c r="J48" s="4"/>
      <c r="K48" s="4"/>
      <c r="L48" s="4"/>
    </row>
    <row r="49" spans="1:12" customFormat="1" x14ac:dyDescent="0.2">
      <c r="A49" s="2"/>
      <c r="B49" s="34" t="s">
        <v>50</v>
      </c>
      <c r="C49" s="35"/>
      <c r="D49" s="35"/>
      <c r="E49" s="33"/>
      <c r="F49" s="36"/>
      <c r="G49" s="36"/>
      <c r="H49" s="36"/>
      <c r="I49" s="36"/>
      <c r="J49" s="36"/>
      <c r="K49" s="36"/>
      <c r="L49" s="36"/>
    </row>
    <row r="50" spans="1:12" customFormat="1" ht="48" x14ac:dyDescent="0.2">
      <c r="A50" s="2"/>
      <c r="B50" s="7" t="s">
        <v>27</v>
      </c>
      <c r="C50" s="8" t="s">
        <v>15</v>
      </c>
      <c r="D50" s="8" t="s">
        <v>62</v>
      </c>
      <c r="E50" s="8" t="s">
        <v>1</v>
      </c>
      <c r="F50" s="9" t="s">
        <v>39</v>
      </c>
      <c r="G50" s="9" t="s">
        <v>47</v>
      </c>
      <c r="H50" s="9" t="s">
        <v>37</v>
      </c>
      <c r="I50" s="9" t="s">
        <v>43</v>
      </c>
      <c r="J50" s="9" t="s">
        <v>44</v>
      </c>
      <c r="K50" s="9" t="s">
        <v>35</v>
      </c>
      <c r="L50" s="9" t="s">
        <v>36</v>
      </c>
    </row>
    <row r="51" spans="1:12" customFormat="1" outlineLevel="1" x14ac:dyDescent="0.2">
      <c r="A51" s="2"/>
      <c r="B51" s="2" t="s">
        <v>5</v>
      </c>
      <c r="C51" s="3">
        <v>50</v>
      </c>
      <c r="D51" s="3">
        <v>1990</v>
      </c>
      <c r="E51" s="3">
        <f>F51-$C$36</f>
        <v>18</v>
      </c>
      <c r="F51" s="3">
        <f>D51+C51</f>
        <v>2040</v>
      </c>
      <c r="G51" s="4">
        <v>2343524.6505670897</v>
      </c>
      <c r="H51" s="11">
        <f>G51/$G$56</f>
        <v>0.74756396669488112</v>
      </c>
      <c r="I51" s="4">
        <f>$C$40*H51</f>
        <v>59066.524136495944</v>
      </c>
      <c r="J51" s="27">
        <f>-FV(($C$37/12),E51,0,I51)</f>
        <v>59155.186708783884</v>
      </c>
      <c r="K51" s="27">
        <f>G51-J51</f>
        <v>2284369.4638583059</v>
      </c>
      <c r="L51" s="27">
        <f>K51/E51</f>
        <v>126909.41465879478</v>
      </c>
    </row>
    <row r="52" spans="1:12" customFormat="1" outlineLevel="1" x14ac:dyDescent="0.2">
      <c r="A52" s="2"/>
      <c r="B52" s="2" t="s">
        <v>7</v>
      </c>
      <c r="C52" s="3">
        <v>50</v>
      </c>
      <c r="D52" s="3">
        <v>1990</v>
      </c>
      <c r="E52" s="3">
        <f t="shared" ref="E52:E55" si="3">F52-$C$36</f>
        <v>18</v>
      </c>
      <c r="F52" s="3">
        <f t="shared" ref="F52:F55" si="4">D52+C52</f>
        <v>2040</v>
      </c>
      <c r="G52" s="4">
        <v>500000</v>
      </c>
      <c r="H52" s="11">
        <f>G52/$G$56</f>
        <v>0.15949564825656612</v>
      </c>
      <c r="I52" s="4">
        <f>$C$40*H52</f>
        <v>12602.070160047802</v>
      </c>
      <c r="J52" s="27">
        <f>-FV(($C$37/12),E52,0,I52)</f>
        <v>12620.986660940269</v>
      </c>
      <c r="K52" s="27">
        <f>G52-J52</f>
        <v>487379.01333905972</v>
      </c>
      <c r="L52" s="27">
        <f>K52/E52</f>
        <v>27076.611852169983</v>
      </c>
    </row>
    <row r="53" spans="1:12" customFormat="1" outlineLevel="1" x14ac:dyDescent="0.2">
      <c r="A53" s="2"/>
      <c r="B53" s="2" t="s">
        <v>6</v>
      </c>
      <c r="C53" s="3">
        <v>50</v>
      </c>
      <c r="D53" s="3">
        <v>1990</v>
      </c>
      <c r="E53" s="3">
        <f t="shared" si="3"/>
        <v>18</v>
      </c>
      <c r="F53" s="3">
        <f t="shared" si="4"/>
        <v>2040</v>
      </c>
      <c r="G53" s="4">
        <v>240686.31546364701</v>
      </c>
      <c r="H53" s="11">
        <f>G53/$G$56</f>
        <v>7.6776839822717505E-2</v>
      </c>
      <c r="I53" s="4">
        <f t="shared" ref="I53:I55" si="5">$C$40*H53</f>
        <v>6066.2916680725557</v>
      </c>
      <c r="J53" s="27">
        <f>-FV(($C$37/12),E53,0,I53)</f>
        <v>6075.397553875101</v>
      </c>
      <c r="K53" s="27">
        <f>G53-J53</f>
        <v>234610.9179097719</v>
      </c>
      <c r="L53" s="27">
        <f>K53/E53</f>
        <v>13033.939883876217</v>
      </c>
    </row>
    <row r="54" spans="1:12" customFormat="1" outlineLevel="1" x14ac:dyDescent="0.2">
      <c r="A54" s="2"/>
      <c r="B54" s="2" t="s">
        <v>8</v>
      </c>
      <c r="C54" s="3">
        <v>10</v>
      </c>
      <c r="D54" s="3">
        <v>2016</v>
      </c>
      <c r="E54" s="3">
        <f t="shared" si="3"/>
        <v>4</v>
      </c>
      <c r="F54" s="3">
        <f t="shared" si="4"/>
        <v>2026</v>
      </c>
      <c r="G54" s="4">
        <v>25335.401627752319</v>
      </c>
      <c r="H54" s="11">
        <f>G54/$G$56</f>
        <v>8.0817726129176325E-3</v>
      </c>
      <c r="I54" s="4">
        <f t="shared" si="5"/>
        <v>638.55701769184793</v>
      </c>
      <c r="J54" s="27">
        <f>-FV(($C$37/12),E54,0,I54)</f>
        <v>638.76989663909933</v>
      </c>
      <c r="K54" s="27">
        <f>G54-J54</f>
        <v>24696.631731113219</v>
      </c>
      <c r="L54" s="27">
        <f>K54/E54</f>
        <v>6174.1579327783047</v>
      </c>
    </row>
    <row r="55" spans="1:12" customFormat="1" outlineLevel="1" x14ac:dyDescent="0.2">
      <c r="A55" s="2"/>
      <c r="B55" s="5" t="s">
        <v>9</v>
      </c>
      <c r="C55" s="41">
        <v>10</v>
      </c>
      <c r="D55" s="41">
        <v>2016</v>
      </c>
      <c r="E55" s="41">
        <f t="shared" si="3"/>
        <v>4</v>
      </c>
      <c r="F55" s="41">
        <f t="shared" si="4"/>
        <v>2026</v>
      </c>
      <c r="G55" s="6">
        <v>25335.401627752319</v>
      </c>
      <c r="H55" s="30">
        <f>G55/$G$56</f>
        <v>8.0817726129176325E-3</v>
      </c>
      <c r="I55" s="6">
        <f t="shared" si="5"/>
        <v>638.55701769184793</v>
      </c>
      <c r="J55" s="6">
        <f>-FV(($C$37/12),E55,0,I55)</f>
        <v>638.76989663909933</v>
      </c>
      <c r="K55" s="6">
        <f>G55-J55</f>
        <v>24696.631731113219</v>
      </c>
      <c r="L55" s="6">
        <f>K55/E55</f>
        <v>6174.1579327783047</v>
      </c>
    </row>
    <row r="56" spans="1:12" customFormat="1" x14ac:dyDescent="0.2">
      <c r="A56" s="2"/>
      <c r="B56" s="2"/>
      <c r="C56" s="3"/>
      <c r="D56" s="3"/>
      <c r="E56" s="3"/>
      <c r="F56" s="4"/>
      <c r="G56" s="28">
        <f t="shared" ref="G56:L56" si="6">SUM(G51:G55)</f>
        <v>3134881.7692862414</v>
      </c>
      <c r="H56" s="29">
        <f t="shared" si="6"/>
        <v>1</v>
      </c>
      <c r="I56" s="28">
        <f t="shared" si="6"/>
        <v>79011.999999999985</v>
      </c>
      <c r="J56" s="28">
        <f t="shared" si="6"/>
        <v>79129.110716877462</v>
      </c>
      <c r="K56" s="28">
        <f t="shared" si="6"/>
        <v>3055752.6585693648</v>
      </c>
      <c r="L56" s="28">
        <f t="shared" si="6"/>
        <v>179368.28226039757</v>
      </c>
    </row>
  </sheetData>
  <printOptions gridLines="1"/>
  <pageMargins left="0.25" right="0.25" top="0.75" bottom="0.75" header="0.3" footer="0.3"/>
  <pageSetup scale="110" orientation="landscape" r:id="rId1"/>
  <headerFooter>
    <oddHeader>&amp;C&amp;"-,Bold"&amp;14Red Hawk Reserve Study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5056-869B-DE49-A48B-E9010F9A2B3B}">
  <dimension ref="A1:M56"/>
  <sheetViews>
    <sheetView showGridLines="0" tabSelected="1" topLeftCell="A23" zoomScale="106" zoomScaleNormal="100" workbookViewId="0">
      <selection activeCell="O42" sqref="O42"/>
    </sheetView>
  </sheetViews>
  <sheetFormatPr baseColWidth="10" defaultColWidth="8.83203125" defaultRowHeight="15" outlineLevelRow="1" x14ac:dyDescent="0.2"/>
  <cols>
    <col min="1" max="1" width="2.6640625" style="2" customWidth="1"/>
    <col min="2" max="2" width="34.6640625" style="2" bestFit="1" customWidth="1"/>
    <col min="3" max="3" width="9.5" style="3" bestFit="1" customWidth="1"/>
    <col min="4" max="4" width="9.5" style="3" customWidth="1"/>
    <col min="5" max="5" width="10.6640625" style="3" customWidth="1"/>
    <col min="6" max="12" width="11.6640625" style="4" customWidth="1"/>
    <col min="14" max="16384" width="8.83203125" style="2"/>
  </cols>
  <sheetData>
    <row r="1" spans="1:13" ht="19" x14ac:dyDescent="0.25">
      <c r="A1" s="1" t="s">
        <v>66</v>
      </c>
    </row>
    <row r="2" spans="1:13" ht="7" customHeight="1" x14ac:dyDescent="0.2"/>
    <row r="3" spans="1:13" x14ac:dyDescent="0.2">
      <c r="A3" s="37"/>
      <c r="B3" s="37"/>
      <c r="C3" s="38"/>
      <c r="D3" s="38"/>
      <c r="E3" s="38"/>
      <c r="F3" s="39"/>
      <c r="G3" s="39"/>
      <c r="H3" s="39"/>
      <c r="I3" s="39"/>
      <c r="J3" s="39"/>
      <c r="K3" s="39"/>
      <c r="L3" s="39"/>
      <c r="M3" s="40"/>
    </row>
    <row r="4" spans="1:13" ht="7" customHeight="1" x14ac:dyDescent="0.2"/>
    <row r="5" spans="1:13" ht="19" x14ac:dyDescent="0.25">
      <c r="A5" s="1" t="s">
        <v>52</v>
      </c>
    </row>
    <row r="6" spans="1:13" ht="7" customHeight="1" x14ac:dyDescent="0.2"/>
    <row r="7" spans="1:13" x14ac:dyDescent="0.2">
      <c r="B7" s="32" t="s">
        <v>28</v>
      </c>
      <c r="C7" s="33"/>
      <c r="D7" s="33"/>
    </row>
    <row r="8" spans="1:13" x14ac:dyDescent="0.2">
      <c r="B8" s="10" t="s">
        <v>45</v>
      </c>
      <c r="C8" s="2">
        <v>2022</v>
      </c>
      <c r="D8" s="2"/>
    </row>
    <row r="9" spans="1:13" x14ac:dyDescent="0.2">
      <c r="B9" s="10" t="s">
        <v>34</v>
      </c>
      <c r="C9" s="2">
        <v>2024</v>
      </c>
      <c r="D9" s="2"/>
    </row>
    <row r="10" spans="1:13" x14ac:dyDescent="0.2">
      <c r="B10" s="10" t="s">
        <v>55</v>
      </c>
      <c r="C10" s="12">
        <v>1E-3</v>
      </c>
      <c r="D10" s="12"/>
    </row>
    <row r="11" spans="1:13" x14ac:dyDescent="0.2">
      <c r="B11" s="10" t="s">
        <v>16</v>
      </c>
      <c r="C11" s="12">
        <v>0.05</v>
      </c>
      <c r="D11" s="12"/>
    </row>
    <row r="12" spans="1:13" x14ac:dyDescent="0.2">
      <c r="B12" s="10" t="s">
        <v>42</v>
      </c>
      <c r="C12" s="3">
        <v>23</v>
      </c>
    </row>
    <row r="13" spans="1:13" x14ac:dyDescent="0.2">
      <c r="B13" s="10" t="s">
        <v>65</v>
      </c>
      <c r="C13" s="4">
        <v>199599</v>
      </c>
      <c r="D13" s="4"/>
    </row>
    <row r="14" spans="1:13" ht="7" customHeight="1" x14ac:dyDescent="0.2"/>
    <row r="15" spans="1:13" x14ac:dyDescent="0.2">
      <c r="B15" s="32" t="s">
        <v>40</v>
      </c>
      <c r="C15" s="33"/>
      <c r="D15" s="33"/>
    </row>
    <row r="16" spans="1:13" x14ac:dyDescent="0.2">
      <c r="B16" s="10" t="s">
        <v>41</v>
      </c>
      <c r="C16" s="27">
        <f>L27</f>
        <v>84836.223580070713</v>
      </c>
      <c r="D16" s="27"/>
    </row>
    <row r="17" spans="1:13" x14ac:dyDescent="0.2">
      <c r="B17" s="10" t="s">
        <v>48</v>
      </c>
      <c r="C17" s="27">
        <f>C16/C12</f>
        <v>3688.5314600030747</v>
      </c>
      <c r="D17" s="27"/>
    </row>
    <row r="18" spans="1:13" x14ac:dyDescent="0.2">
      <c r="B18" s="10" t="s">
        <v>63</v>
      </c>
      <c r="C18" s="27">
        <v>13215</v>
      </c>
      <c r="D18" s="2"/>
    </row>
    <row r="19" spans="1:13" x14ac:dyDescent="0.2">
      <c r="B19" s="10" t="s">
        <v>64</v>
      </c>
      <c r="C19" s="44">
        <f>C18/C16</f>
        <v>0.15577072437138043</v>
      </c>
      <c r="D19" s="44"/>
    </row>
    <row r="20" spans="1:13" x14ac:dyDescent="0.2">
      <c r="B20" s="31" t="s">
        <v>49</v>
      </c>
      <c r="C20" s="42">
        <f>C16-C18</f>
        <v>71621.223580070713</v>
      </c>
      <c r="D20" s="27"/>
    </row>
    <row r="21" spans="1:13" ht="7" customHeight="1" x14ac:dyDescent="0.2"/>
    <row r="22" spans="1:13" x14ac:dyDescent="0.2">
      <c r="B22" s="34" t="s">
        <v>50</v>
      </c>
      <c r="C22" s="35"/>
      <c r="D22" s="35"/>
      <c r="E22" s="33"/>
      <c r="F22" s="36"/>
      <c r="G22" s="36"/>
      <c r="H22" s="36"/>
      <c r="I22" s="36"/>
      <c r="J22" s="36"/>
      <c r="K22" s="36"/>
      <c r="L22" s="36"/>
    </row>
    <row r="23" spans="1:13" ht="48" x14ac:dyDescent="0.2">
      <c r="B23" s="7" t="s">
        <v>27</v>
      </c>
      <c r="C23" s="8" t="s">
        <v>15</v>
      </c>
      <c r="D23" s="8" t="s">
        <v>62</v>
      </c>
      <c r="E23" s="8" t="s">
        <v>1</v>
      </c>
      <c r="F23" s="9" t="s">
        <v>39</v>
      </c>
      <c r="G23" s="9" t="s">
        <v>47</v>
      </c>
      <c r="H23" s="9" t="s">
        <v>37</v>
      </c>
      <c r="I23" s="9" t="s">
        <v>43</v>
      </c>
      <c r="J23" s="9" t="s">
        <v>44</v>
      </c>
      <c r="K23" s="9" t="s">
        <v>35</v>
      </c>
      <c r="L23" s="9" t="s">
        <v>36</v>
      </c>
    </row>
    <row r="24" spans="1:13" outlineLevel="1" x14ac:dyDescent="0.2">
      <c r="B24" s="2" t="s">
        <v>61</v>
      </c>
      <c r="C24" s="3">
        <v>25</v>
      </c>
      <c r="D24" s="3">
        <v>2009</v>
      </c>
      <c r="E24" s="3">
        <f>F24-$C$9</f>
        <v>10</v>
      </c>
      <c r="F24" s="3">
        <f>C24+D24</f>
        <v>2034</v>
      </c>
      <c r="G24" s="4">
        <f>477860+177410</f>
        <v>655270</v>
      </c>
      <c r="H24" s="11">
        <f>G24/$G$27</f>
        <v>0.92532002174665151</v>
      </c>
      <c r="I24" s="27">
        <f>$C$13*H24</f>
        <v>184692.95102060991</v>
      </c>
      <c r="J24" s="27">
        <f>-FV($C$10,E24,0,I24)</f>
        <v>186548.21391559794</v>
      </c>
      <c r="K24" s="27">
        <f>G24-J24</f>
        <v>468721.78608440206</v>
      </c>
      <c r="L24" s="27">
        <f>K24/E24</f>
        <v>46872.178608440205</v>
      </c>
    </row>
    <row r="25" spans="1:13" outlineLevel="1" x14ac:dyDescent="0.2">
      <c r="B25" s="2" t="s">
        <v>4</v>
      </c>
      <c r="C25" s="3">
        <v>5</v>
      </c>
      <c r="D25" s="3">
        <v>2020</v>
      </c>
      <c r="E25" s="3">
        <f t="shared" ref="E25" si="0">F25-$C$9</f>
        <v>1</v>
      </c>
      <c r="F25" s="3">
        <f>C25+D25</f>
        <v>2025</v>
      </c>
      <c r="G25" s="4">
        <v>42885</v>
      </c>
      <c r="H25" s="11">
        <f>G25/$G$27</f>
        <v>6.0558775974186442E-2</v>
      </c>
      <c r="I25" s="27">
        <f t="shared" ref="I25:I26" si="1">$C$13*H25</f>
        <v>12087.47112567164</v>
      </c>
      <c r="J25" s="27">
        <f>-FV($C$10,E25,0,I25)</f>
        <v>12099.558596797311</v>
      </c>
      <c r="K25" s="27">
        <f>G25-J25</f>
        <v>30785.441403202691</v>
      </c>
      <c r="L25" s="27">
        <f>K25/E25</f>
        <v>30785.441403202691</v>
      </c>
    </row>
    <row r="26" spans="1:13" outlineLevel="1" x14ac:dyDescent="0.2">
      <c r="B26" s="5" t="s">
        <v>26</v>
      </c>
      <c r="C26" s="41">
        <v>15</v>
      </c>
      <c r="D26" s="41">
        <v>2009</v>
      </c>
      <c r="E26" s="45">
        <v>1</v>
      </c>
      <c r="F26" s="41">
        <f>C26+D26</f>
        <v>2024</v>
      </c>
      <c r="G26" s="6">
        <v>10000</v>
      </c>
      <c r="H26" s="30">
        <f>G26/$G$27</f>
        <v>1.4121202279162047E-2</v>
      </c>
      <c r="I26" s="6">
        <f t="shared" si="1"/>
        <v>2818.5778537184656</v>
      </c>
      <c r="J26" s="6">
        <f>-FV($C$10,E26,0,I26)</f>
        <v>2821.3964315721837</v>
      </c>
      <c r="K26" s="6">
        <f>G26-J26</f>
        <v>7178.6035684278158</v>
      </c>
      <c r="L26" s="6">
        <f>K26/E26</f>
        <v>7178.6035684278158</v>
      </c>
    </row>
    <row r="27" spans="1:13" x14ac:dyDescent="0.2">
      <c r="F27" s="11"/>
      <c r="G27" s="28">
        <f t="shared" ref="G27:L27" si="2">SUM(G24:G26)</f>
        <v>708155</v>
      </c>
      <c r="H27" s="29">
        <f t="shared" si="2"/>
        <v>1</v>
      </c>
      <c r="I27" s="28">
        <f t="shared" si="2"/>
        <v>199599</v>
      </c>
      <c r="J27" s="28">
        <f t="shared" si="2"/>
        <v>201469.16894396744</v>
      </c>
      <c r="K27" s="28">
        <f t="shared" si="2"/>
        <v>506685.83105603256</v>
      </c>
      <c r="L27" s="28">
        <f t="shared" si="2"/>
        <v>84836.223580070713</v>
      </c>
    </row>
    <row r="28" spans="1:13" ht="7" customHeight="1" x14ac:dyDescent="0.2"/>
    <row r="29" spans="1:13" x14ac:dyDescent="0.2">
      <c r="A29" s="37"/>
      <c r="B29" s="37"/>
      <c r="C29" s="38"/>
      <c r="D29" s="38"/>
      <c r="E29" s="38"/>
      <c r="F29" s="39"/>
      <c r="G29" s="39"/>
      <c r="H29" s="39"/>
      <c r="I29" s="39"/>
      <c r="J29" s="39"/>
      <c r="K29" s="39"/>
      <c r="L29" s="39"/>
      <c r="M29" s="40"/>
    </row>
    <row r="30" spans="1:13" ht="19" x14ac:dyDescent="0.25">
      <c r="A30" s="1" t="s">
        <v>51</v>
      </c>
    </row>
    <row r="31" spans="1:13" s="3" customFormat="1" ht="7" customHeight="1" x14ac:dyDescent="0.2">
      <c r="A31" s="2"/>
      <c r="B31" s="2"/>
      <c r="F31" s="4"/>
      <c r="G31" s="4"/>
      <c r="H31" s="4"/>
      <c r="I31" s="4"/>
      <c r="J31" s="4"/>
      <c r="K31" s="4"/>
      <c r="L31" s="4"/>
      <c r="M31"/>
    </row>
    <row r="32" spans="1:13" s="3" customFormat="1" x14ac:dyDescent="0.2">
      <c r="A32" s="2"/>
      <c r="B32" s="43" t="s">
        <v>58</v>
      </c>
      <c r="F32" s="4"/>
      <c r="G32" s="4"/>
      <c r="H32" s="4"/>
      <c r="I32" s="4"/>
      <c r="J32" s="4"/>
      <c r="K32" s="4"/>
      <c r="L32" s="4"/>
      <c r="M32"/>
    </row>
    <row r="33" spans="1:13" s="3" customFormat="1" x14ac:dyDescent="0.2">
      <c r="A33" s="2"/>
      <c r="B33" s="43"/>
      <c r="F33" s="4"/>
      <c r="G33" s="4"/>
      <c r="H33" s="4"/>
      <c r="I33" s="4"/>
      <c r="J33" s="4"/>
      <c r="K33" s="4"/>
      <c r="L33" s="4"/>
      <c r="M33"/>
    </row>
    <row r="34" spans="1:13" s="3" customFormat="1" x14ac:dyDescent="0.2">
      <c r="A34" s="2"/>
      <c r="B34" s="32" t="s">
        <v>28</v>
      </c>
      <c r="C34" s="33"/>
      <c r="D34" s="33"/>
      <c r="F34" s="4"/>
      <c r="G34" s="4"/>
      <c r="H34" s="4"/>
      <c r="I34" s="4"/>
      <c r="J34" s="4"/>
      <c r="K34" s="4"/>
      <c r="L34" s="4"/>
      <c r="M34"/>
    </row>
    <row r="35" spans="1:13" s="3" customFormat="1" x14ac:dyDescent="0.2">
      <c r="A35" s="2"/>
      <c r="B35" s="10" t="s">
        <v>45</v>
      </c>
      <c r="C35" s="2">
        <v>2022</v>
      </c>
      <c r="D35" s="2"/>
      <c r="F35" s="4"/>
      <c r="G35" s="4"/>
      <c r="H35" s="4"/>
      <c r="I35" s="4"/>
      <c r="J35" s="4"/>
      <c r="K35" s="4"/>
      <c r="L35" s="4"/>
      <c r="M35"/>
    </row>
    <row r="36" spans="1:13" s="3" customFormat="1" x14ac:dyDescent="0.2">
      <c r="A36" s="2"/>
      <c r="B36" s="10" t="s">
        <v>34</v>
      </c>
      <c r="C36" s="2">
        <v>2024</v>
      </c>
      <c r="D36" s="2"/>
      <c r="F36" s="4"/>
      <c r="G36" s="4"/>
      <c r="H36" s="4"/>
      <c r="I36" s="4"/>
      <c r="J36" s="4"/>
      <c r="K36" s="4"/>
      <c r="L36" s="4"/>
      <c r="M36"/>
    </row>
    <row r="37" spans="1:13" s="3" customFormat="1" x14ac:dyDescent="0.2">
      <c r="A37" s="2"/>
      <c r="B37" s="10" t="s">
        <v>55</v>
      </c>
      <c r="C37" s="12">
        <v>1E-3</v>
      </c>
      <c r="D37" s="12"/>
      <c r="F37" s="4"/>
      <c r="G37" s="4"/>
      <c r="H37" s="4"/>
      <c r="I37" s="4"/>
      <c r="J37" s="4"/>
      <c r="K37" s="4"/>
      <c r="L37" s="4"/>
      <c r="M37"/>
    </row>
    <row r="38" spans="1:13" s="3" customFormat="1" x14ac:dyDescent="0.2">
      <c r="A38" s="2"/>
      <c r="B38" s="10" t="s">
        <v>16</v>
      </c>
      <c r="C38" s="12">
        <v>0.05</v>
      </c>
      <c r="D38" s="12"/>
      <c r="F38" s="4"/>
      <c r="G38" s="4"/>
      <c r="H38" s="4"/>
      <c r="I38" s="4"/>
      <c r="J38" s="4"/>
      <c r="K38" s="4"/>
      <c r="L38" s="4"/>
      <c r="M38"/>
    </row>
    <row r="39" spans="1:13" s="3" customFormat="1" x14ac:dyDescent="0.2">
      <c r="A39" s="2"/>
      <c r="B39" s="10" t="s">
        <v>53</v>
      </c>
      <c r="C39" s="3">
        <v>21</v>
      </c>
      <c r="F39" s="4"/>
      <c r="G39" s="4"/>
      <c r="H39" s="4"/>
      <c r="I39" s="4"/>
      <c r="J39" s="4"/>
      <c r="K39" s="4"/>
      <c r="L39" s="4"/>
      <c r="M39"/>
    </row>
    <row r="40" spans="1:13" s="3" customFormat="1" x14ac:dyDescent="0.2">
      <c r="A40" s="2"/>
      <c r="B40" s="10" t="s">
        <v>65</v>
      </c>
      <c r="C40" s="4">
        <v>150937</v>
      </c>
      <c r="D40" s="4"/>
      <c r="F40" s="4"/>
      <c r="G40" s="4"/>
      <c r="H40" s="4"/>
      <c r="I40" s="4"/>
      <c r="J40" s="4"/>
      <c r="K40" s="4"/>
      <c r="L40" s="4"/>
      <c r="M40"/>
    </row>
    <row r="41" spans="1:13" s="3" customFormat="1" ht="7" customHeight="1" x14ac:dyDescent="0.2">
      <c r="A41" s="2"/>
      <c r="B41" s="2"/>
      <c r="F41" s="4"/>
      <c r="G41" s="4"/>
      <c r="H41" s="4"/>
      <c r="I41" s="4"/>
      <c r="J41" s="4"/>
      <c r="K41" s="4"/>
      <c r="L41" s="4"/>
      <c r="M41"/>
    </row>
    <row r="42" spans="1:13" s="3" customFormat="1" x14ac:dyDescent="0.2">
      <c r="A42" s="2"/>
      <c r="B42" s="32" t="s">
        <v>40</v>
      </c>
      <c r="C42" s="33"/>
      <c r="D42" s="33"/>
      <c r="F42" s="4"/>
      <c r="G42" s="4"/>
      <c r="H42" s="4"/>
      <c r="I42" s="4"/>
      <c r="J42" s="4"/>
      <c r="K42" s="4"/>
      <c r="L42" s="4"/>
      <c r="M42"/>
    </row>
    <row r="43" spans="1:13" s="3" customFormat="1" x14ac:dyDescent="0.2">
      <c r="A43" s="2"/>
      <c r="B43" s="10" t="s">
        <v>41</v>
      </c>
      <c r="C43" s="27">
        <f>L56</f>
        <v>207585.07997685831</v>
      </c>
      <c r="D43" s="27"/>
      <c r="F43" s="4"/>
      <c r="G43" s="4"/>
      <c r="H43" s="4"/>
      <c r="I43" s="4"/>
      <c r="J43" s="4"/>
      <c r="K43" s="4"/>
      <c r="L43" s="4"/>
      <c r="M43"/>
    </row>
    <row r="44" spans="1:13" s="3" customFormat="1" x14ac:dyDescent="0.2">
      <c r="A44" s="2"/>
      <c r="B44" s="10" t="s">
        <v>48</v>
      </c>
      <c r="C44" s="27">
        <f>C43/C39</f>
        <v>9885.0038084218249</v>
      </c>
      <c r="D44" s="27"/>
      <c r="F44" s="4"/>
      <c r="G44" s="4"/>
      <c r="H44" s="4"/>
      <c r="I44" s="4"/>
      <c r="J44" s="4"/>
      <c r="K44" s="4"/>
      <c r="L44" s="4"/>
      <c r="M44"/>
    </row>
    <row r="45" spans="1:13" s="3" customFormat="1" x14ac:dyDescent="0.2">
      <c r="A45" s="2"/>
      <c r="B45" s="10" t="s">
        <v>63</v>
      </c>
      <c r="C45" s="27">
        <v>16367</v>
      </c>
      <c r="F45" s="4"/>
      <c r="G45" s="4"/>
      <c r="H45" s="4"/>
      <c r="I45" s="4"/>
      <c r="J45" s="4"/>
      <c r="K45" s="4"/>
      <c r="L45" s="4"/>
      <c r="M45"/>
    </row>
    <row r="46" spans="1:13" s="3" customFormat="1" x14ac:dyDescent="0.2">
      <c r="A46" s="2"/>
      <c r="B46" s="10" t="s">
        <v>64</v>
      </c>
      <c r="C46" s="44">
        <f>C45/C43</f>
        <v>7.8844780182779045E-2</v>
      </c>
      <c r="D46" s="44"/>
      <c r="F46" s="4"/>
      <c r="G46" s="4"/>
      <c r="H46" s="4"/>
      <c r="I46" s="4"/>
      <c r="J46" s="4"/>
      <c r="K46" s="4"/>
      <c r="L46" s="4"/>
      <c r="M46"/>
    </row>
    <row r="47" spans="1:13" s="3" customFormat="1" x14ac:dyDescent="0.2">
      <c r="A47" s="2"/>
      <c r="B47" s="31" t="s">
        <v>49</v>
      </c>
      <c r="C47" s="42">
        <f>C43-C45</f>
        <v>191218.07997685831</v>
      </c>
      <c r="D47" s="27"/>
      <c r="F47" s="4"/>
      <c r="G47" s="4"/>
      <c r="H47" s="4"/>
      <c r="I47" s="4"/>
      <c r="J47" s="4"/>
      <c r="K47" s="4"/>
      <c r="L47" s="4"/>
      <c r="M47"/>
    </row>
    <row r="48" spans="1:13" customFormat="1" ht="7" customHeight="1" x14ac:dyDescent="0.2">
      <c r="A48" s="2"/>
      <c r="B48" s="2"/>
      <c r="C48" s="3"/>
      <c r="D48" s="3"/>
      <c r="E48" s="3"/>
      <c r="F48" s="4"/>
      <c r="G48" s="4"/>
      <c r="H48" s="4"/>
      <c r="I48" s="4"/>
      <c r="J48" s="4"/>
      <c r="K48" s="4"/>
      <c r="L48" s="4"/>
    </row>
    <row r="49" spans="1:12" customFormat="1" x14ac:dyDescent="0.2">
      <c r="A49" s="2"/>
      <c r="B49" s="34" t="s">
        <v>50</v>
      </c>
      <c r="C49" s="35"/>
      <c r="D49" s="35"/>
      <c r="E49" s="33"/>
      <c r="F49" s="36"/>
      <c r="G49" s="36"/>
      <c r="H49" s="36"/>
      <c r="I49" s="36"/>
      <c r="J49" s="36"/>
      <c r="K49" s="36"/>
      <c r="L49" s="36"/>
    </row>
    <row r="50" spans="1:12" customFormat="1" ht="48" x14ac:dyDescent="0.2">
      <c r="A50" s="2"/>
      <c r="B50" s="7" t="s">
        <v>27</v>
      </c>
      <c r="C50" s="8" t="s">
        <v>15</v>
      </c>
      <c r="D50" s="8" t="s">
        <v>62</v>
      </c>
      <c r="E50" s="8" t="s">
        <v>1</v>
      </c>
      <c r="F50" s="9" t="s">
        <v>39</v>
      </c>
      <c r="G50" s="9" t="s">
        <v>47</v>
      </c>
      <c r="H50" s="9" t="s">
        <v>37</v>
      </c>
      <c r="I50" s="9" t="s">
        <v>43</v>
      </c>
      <c r="J50" s="9" t="s">
        <v>44</v>
      </c>
      <c r="K50" s="9" t="s">
        <v>35</v>
      </c>
      <c r="L50" s="9" t="s">
        <v>36</v>
      </c>
    </row>
    <row r="51" spans="1:12" customFormat="1" outlineLevel="1" x14ac:dyDescent="0.2">
      <c r="A51" s="2"/>
      <c r="B51" s="2" t="s">
        <v>5</v>
      </c>
      <c r="C51" s="3">
        <v>50</v>
      </c>
      <c r="D51" s="3">
        <v>1990</v>
      </c>
      <c r="E51" s="3">
        <f>F51-$C$36</f>
        <v>16</v>
      </c>
      <c r="F51" s="3">
        <f>D51+C51</f>
        <v>2040</v>
      </c>
      <c r="G51" s="4">
        <v>2343524.6505670897</v>
      </c>
      <c r="H51" s="11">
        <f>G51/$G$56</f>
        <v>0.74756396669488112</v>
      </c>
      <c r="I51" s="4">
        <f>$C$40*H51</f>
        <v>112835.06244102528</v>
      </c>
      <c r="J51" s="27">
        <f>-FV(($C$37/12),E51,0,I51)</f>
        <v>112985.60325674227</v>
      </c>
      <c r="K51" s="27">
        <f>G51-J51</f>
        <v>2230539.0473103472</v>
      </c>
      <c r="L51" s="27">
        <f>K51/E51</f>
        <v>139408.6904568967</v>
      </c>
    </row>
    <row r="52" spans="1:12" customFormat="1" outlineLevel="1" x14ac:dyDescent="0.2">
      <c r="A52" s="2"/>
      <c r="B52" s="2" t="s">
        <v>7</v>
      </c>
      <c r="C52" s="3">
        <v>50</v>
      </c>
      <c r="D52" s="3">
        <v>1990</v>
      </c>
      <c r="E52" s="3">
        <f t="shared" ref="E52:E55" si="3">F52-$C$36</f>
        <v>16</v>
      </c>
      <c r="F52" s="3">
        <f t="shared" ref="F52:F55" si="4">D52+C52</f>
        <v>2040</v>
      </c>
      <c r="G52" s="4">
        <v>500000</v>
      </c>
      <c r="H52" s="11">
        <f>G52/$G$56</f>
        <v>0.15949564825656612</v>
      </c>
      <c r="I52" s="4">
        <f>$C$40*H52</f>
        <v>24073.79466090132</v>
      </c>
      <c r="J52" s="27">
        <f>-FV(($C$37/12),E52,0,I52)</f>
        <v>24105.913123081897</v>
      </c>
      <c r="K52" s="27">
        <f>G52-J52</f>
        <v>475894.0868769181</v>
      </c>
      <c r="L52" s="27">
        <f>K52/E52</f>
        <v>29743.380429807381</v>
      </c>
    </row>
    <row r="53" spans="1:12" customFormat="1" outlineLevel="1" x14ac:dyDescent="0.2">
      <c r="A53" s="2"/>
      <c r="B53" s="2" t="s">
        <v>6</v>
      </c>
      <c r="C53" s="3">
        <v>50</v>
      </c>
      <c r="D53" s="3">
        <v>1990</v>
      </c>
      <c r="E53" s="3">
        <f t="shared" si="3"/>
        <v>16</v>
      </c>
      <c r="F53" s="3">
        <f t="shared" si="4"/>
        <v>2040</v>
      </c>
      <c r="G53" s="4">
        <v>240686.31546364701</v>
      </c>
      <c r="H53" s="11">
        <f>G53/$G$56</f>
        <v>7.6776839822717505E-2</v>
      </c>
      <c r="I53" s="4">
        <f t="shared" ref="I53:I55" si="5">$C$40*H53</f>
        <v>11588.465872321513</v>
      </c>
      <c r="J53" s="27">
        <f>-FV(($C$37/12),E53,0,I53)</f>
        <v>11603.926820962715</v>
      </c>
      <c r="K53" s="27">
        <f>G53-J53</f>
        <v>229082.38864268429</v>
      </c>
      <c r="L53" s="27">
        <f>K53/E53</f>
        <v>14317.649290167768</v>
      </c>
    </row>
    <row r="54" spans="1:12" customFormat="1" outlineLevel="1" x14ac:dyDescent="0.2">
      <c r="A54" s="2"/>
      <c r="B54" s="2" t="s">
        <v>8</v>
      </c>
      <c r="C54" s="3">
        <v>10</v>
      </c>
      <c r="D54" s="3">
        <v>2016</v>
      </c>
      <c r="E54" s="3">
        <f t="shared" si="3"/>
        <v>2</v>
      </c>
      <c r="F54" s="3">
        <f t="shared" si="4"/>
        <v>2026</v>
      </c>
      <c r="G54" s="4">
        <v>25335.401627752319</v>
      </c>
      <c r="H54" s="11">
        <f>G54/$G$56</f>
        <v>8.0817726129176325E-3</v>
      </c>
      <c r="I54" s="4">
        <f t="shared" si="5"/>
        <v>1219.8385128759487</v>
      </c>
      <c r="J54" s="27">
        <f>-FV(($C$37/12),E54,0,I54)</f>
        <v>1220.0418277658623</v>
      </c>
      <c r="K54" s="27">
        <f>G54-J54</f>
        <v>24115.359799986458</v>
      </c>
      <c r="L54" s="27">
        <f>K54/E54</f>
        <v>12057.679899993229</v>
      </c>
    </row>
    <row r="55" spans="1:12" customFormat="1" outlineLevel="1" x14ac:dyDescent="0.2">
      <c r="A55" s="2"/>
      <c r="B55" s="5" t="s">
        <v>9</v>
      </c>
      <c r="C55" s="41">
        <v>10</v>
      </c>
      <c r="D55" s="41">
        <v>2016</v>
      </c>
      <c r="E55" s="41">
        <f t="shared" si="3"/>
        <v>2</v>
      </c>
      <c r="F55" s="41">
        <f t="shared" si="4"/>
        <v>2026</v>
      </c>
      <c r="G55" s="6">
        <v>25335.401627752319</v>
      </c>
      <c r="H55" s="30">
        <f>G55/$G$56</f>
        <v>8.0817726129176325E-3</v>
      </c>
      <c r="I55" s="6">
        <f t="shared" si="5"/>
        <v>1219.8385128759487</v>
      </c>
      <c r="J55" s="6">
        <f>-FV(($C$37/12),E55,0,I55)</f>
        <v>1220.0418277658623</v>
      </c>
      <c r="K55" s="6">
        <f>G55-J55</f>
        <v>24115.359799986458</v>
      </c>
      <c r="L55" s="6">
        <f>K55/E55</f>
        <v>12057.679899993229</v>
      </c>
    </row>
    <row r="56" spans="1:12" customFormat="1" x14ac:dyDescent="0.2">
      <c r="A56" s="2"/>
      <c r="B56" s="2"/>
      <c r="C56" s="3"/>
      <c r="D56" s="3"/>
      <c r="E56" s="3"/>
      <c r="F56" s="4"/>
      <c r="G56" s="28">
        <f t="shared" ref="G56:L56" si="6">SUM(G51:G55)</f>
        <v>3134881.7692862414</v>
      </c>
      <c r="H56" s="29">
        <f t="shared" si="6"/>
        <v>1</v>
      </c>
      <c r="I56" s="28">
        <f t="shared" si="6"/>
        <v>150937.00000000003</v>
      </c>
      <c r="J56" s="28">
        <f t="shared" si="6"/>
        <v>151135.52685631864</v>
      </c>
      <c r="K56" s="28">
        <f t="shared" si="6"/>
        <v>2983746.2424299219</v>
      </c>
      <c r="L56" s="28">
        <f t="shared" si="6"/>
        <v>207585.07997685831</v>
      </c>
    </row>
  </sheetData>
  <printOptions gridLines="1"/>
  <pageMargins left="0.25" right="0.25" top="0.75" bottom="0.75" header="0.3" footer="0.3"/>
  <pageSetup scale="110" orientation="landscape" r:id="rId1"/>
  <headerFooter>
    <oddHeader>&amp;C&amp;"-,Bold"&amp;14Red Hawk Reserve Study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2013</vt:lpstr>
      <vt:lpstr>2021</vt:lpstr>
      <vt:lpstr>2022</vt:lpstr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Joren</dc:creator>
  <cp:lastModifiedBy>Model HOA</cp:lastModifiedBy>
  <cp:lastPrinted>2013-11-14T20:53:33Z</cp:lastPrinted>
  <dcterms:created xsi:type="dcterms:W3CDTF">2013-11-12T15:25:27Z</dcterms:created>
  <dcterms:modified xsi:type="dcterms:W3CDTF">2024-10-14T19:29:29Z</dcterms:modified>
</cp:coreProperties>
</file>